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Association FY2025\"/>
    </mc:Choice>
  </mc:AlternateContent>
  <xr:revisionPtr revIDLastSave="3" documentId="14_{E34629D0-0545-400E-8ED5-C8549924B36E}" xr6:coauthVersionLast="47" xr6:coauthVersionMax="47" xr10:uidLastSave="{A541F065-7E51-42D4-8BBF-D71871116A14}"/>
  <bookViews>
    <workbookView xWindow="0" yWindow="0" windowWidth="28800" windowHeight="12105" tabRatio="825" firstSheet="4" xr2:uid="{00000000-000D-0000-FFFF-FFFF00000000}"/>
  </bookViews>
  <sheets>
    <sheet name="Allocation " sheetId="9" r:id="rId1"/>
    <sheet name="Budget Committee" sheetId="26" r:id="rId2"/>
    <sheet name="Athletics" sheetId="27" r:id="rId3"/>
    <sheet name="Child Ctr" sheetId="29" r:id="rId4"/>
    <sheet name="Sheet1" sheetId="36" r:id="rId5"/>
    <sheet name="Study Away" sheetId="30" r:id="rId6"/>
    <sheet name="Game Room" sheetId="31" r:id="rId7"/>
    <sheet name="Radio Station" sheetId="32" r:id="rId8"/>
    <sheet name="A.P.A.F." sheetId="33" r:id="rId9"/>
    <sheet name="Stdt Gov't" sheetId="34" r:id="rId10"/>
    <sheet name="Stdt Clubs" sheetId="28" r:id="rId11"/>
    <sheet name="Pandora's Box" sheetId="35" r:id="rId12"/>
    <sheet name="Administrative Fee" sheetId="25" r:id="rId13"/>
    <sheet name="Referendums" sheetId="22" r:id="rId14"/>
    <sheet name="Enrollment" sheetId="23" r:id="rId15"/>
    <sheet name="Fee Breakdown" sheetId="24" r:id="rId16"/>
  </sheets>
  <definedNames>
    <definedName name="_xlnm.Print_Area" localSheetId="0">'Allocation '!$A$1:$U$84</definedName>
    <definedName name="_xlnm.Print_Area" localSheetId="2">Athletics!$A$1:$N$43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5" i="9" l="1"/>
  <c r="Y43" i="9"/>
  <c r="Y46" i="9"/>
  <c r="K22" i="32"/>
  <c r="W73" i="9" l="1"/>
  <c r="F32" i="28" l="1"/>
  <c r="J32" i="28"/>
  <c r="K32" i="28"/>
  <c r="H28" i="28"/>
  <c r="M28" i="28" s="1"/>
  <c r="H29" i="28"/>
  <c r="M29" i="28" s="1"/>
  <c r="H30" i="28"/>
  <c r="M30" i="28" s="1"/>
  <c r="H31" i="28"/>
  <c r="M31" i="28" s="1"/>
  <c r="H33" i="27"/>
  <c r="K24" i="34"/>
  <c r="H22" i="34"/>
  <c r="M22" i="34" s="1"/>
  <c r="H21" i="34"/>
  <c r="M21" i="34" s="1"/>
  <c r="J24" i="34"/>
  <c r="H19" i="34"/>
  <c r="M19" i="34" s="1"/>
  <c r="H18" i="34"/>
  <c r="M18" i="34" s="1"/>
  <c r="H17" i="34"/>
  <c r="M17" i="34" s="1"/>
  <c r="G12" i="30"/>
  <c r="M12" i="30" s="1"/>
  <c r="H39" i="27"/>
  <c r="M39" i="27" s="1"/>
  <c r="Y26" i="9" l="1"/>
  <c r="G7" i="35" l="1"/>
  <c r="E8" i="35"/>
  <c r="C8" i="35"/>
  <c r="F7" i="28"/>
  <c r="F9" i="34"/>
  <c r="H9" i="34" s="1"/>
  <c r="G9" i="32"/>
  <c r="M9" i="32" s="1"/>
  <c r="G13" i="31"/>
  <c r="G12" i="29"/>
  <c r="G11" i="29"/>
  <c r="J19" i="35"/>
  <c r="I19" i="35"/>
  <c r="E19" i="35"/>
  <c r="C19" i="35"/>
  <c r="C20" i="35" s="1"/>
  <c r="G18" i="35"/>
  <c r="L18" i="35" s="1"/>
  <c r="G17" i="35"/>
  <c r="L17" i="35" s="1"/>
  <c r="G16" i="35"/>
  <c r="L16" i="35" s="1"/>
  <c r="G15" i="35"/>
  <c r="L15" i="35" s="1"/>
  <c r="G14" i="35"/>
  <c r="L14" i="35" s="1"/>
  <c r="G13" i="35"/>
  <c r="L13" i="35" s="1"/>
  <c r="G12" i="35"/>
  <c r="L12" i="35" s="1"/>
  <c r="G11" i="35"/>
  <c r="L11" i="35" s="1"/>
  <c r="G10" i="35"/>
  <c r="G8" i="35"/>
  <c r="F24" i="34"/>
  <c r="D24" i="34"/>
  <c r="H23" i="34"/>
  <c r="M23" i="34" s="1"/>
  <c r="H20" i="34"/>
  <c r="M20" i="34" s="1"/>
  <c r="H16" i="34"/>
  <c r="M16" i="34" s="1"/>
  <c r="H15" i="34"/>
  <c r="M15" i="34" s="1"/>
  <c r="H14" i="34"/>
  <c r="M14" i="34" s="1"/>
  <c r="K29" i="34"/>
  <c r="H13" i="34"/>
  <c r="M13" i="34" s="1"/>
  <c r="H12" i="34"/>
  <c r="J16" i="33"/>
  <c r="J17" i="33" s="1"/>
  <c r="Y25" i="9" s="1"/>
  <c r="F16" i="33"/>
  <c r="F17" i="33" s="1"/>
  <c r="D16" i="33"/>
  <c r="D17" i="33" s="1"/>
  <c r="H15" i="33"/>
  <c r="L15" i="33" s="1"/>
  <c r="H14" i="33"/>
  <c r="L14" i="33" s="1"/>
  <c r="H13" i="33"/>
  <c r="L13" i="33" s="1"/>
  <c r="L16" i="33" s="1"/>
  <c r="H11" i="33"/>
  <c r="E29" i="32"/>
  <c r="K27" i="32"/>
  <c r="J22" i="32"/>
  <c r="Y24" i="9" s="1"/>
  <c r="I22" i="32"/>
  <c r="E22" i="32"/>
  <c r="C22" i="32"/>
  <c r="G21" i="32"/>
  <c r="M21" i="32" s="1"/>
  <c r="G20" i="32"/>
  <c r="M20" i="32" s="1"/>
  <c r="G19" i="32"/>
  <c r="M19" i="32" s="1"/>
  <c r="G18" i="32"/>
  <c r="M18" i="32" s="1"/>
  <c r="G17" i="32"/>
  <c r="M17" i="32" s="1"/>
  <c r="G16" i="32"/>
  <c r="M16" i="32" s="1"/>
  <c r="G15" i="32"/>
  <c r="M15" i="32" s="1"/>
  <c r="G14" i="32"/>
  <c r="M14" i="32" s="1"/>
  <c r="G13" i="32"/>
  <c r="M13" i="32" s="1"/>
  <c r="G12" i="32"/>
  <c r="I10" i="32"/>
  <c r="J20" i="31"/>
  <c r="I20" i="31"/>
  <c r="E20" i="31"/>
  <c r="C20" i="31"/>
  <c r="G19" i="31"/>
  <c r="L19" i="31" s="1"/>
  <c r="G18" i="31"/>
  <c r="L18" i="31" s="1"/>
  <c r="G17" i="31"/>
  <c r="L17" i="31" s="1"/>
  <c r="G16" i="31"/>
  <c r="L16" i="31" s="1"/>
  <c r="G15" i="31"/>
  <c r="L15" i="31" s="1"/>
  <c r="G14" i="31"/>
  <c r="L14" i="31" s="1"/>
  <c r="L13" i="31"/>
  <c r="L20" i="31" s="1"/>
  <c r="I11" i="31"/>
  <c r="G10" i="31"/>
  <c r="L10" i="31" s="1"/>
  <c r="K14" i="30"/>
  <c r="I14" i="30"/>
  <c r="E14" i="30"/>
  <c r="C14" i="30"/>
  <c r="G13" i="30"/>
  <c r="M13" i="30" s="1"/>
  <c r="G11" i="30"/>
  <c r="G14" i="30" s="1"/>
  <c r="O72" i="9" s="1"/>
  <c r="I13" i="29"/>
  <c r="E13" i="29"/>
  <c r="C13" i="29"/>
  <c r="K12" i="29"/>
  <c r="K11" i="29"/>
  <c r="K13" i="29" s="1"/>
  <c r="G19" i="35" l="1"/>
  <c r="L19" i="35" s="1"/>
  <c r="L10" i="35"/>
  <c r="H24" i="34"/>
  <c r="M9" i="34"/>
  <c r="G22" i="32"/>
  <c r="G13" i="29"/>
  <c r="N72" i="9" s="1"/>
  <c r="E9" i="29"/>
  <c r="G20" i="35"/>
  <c r="M11" i="30"/>
  <c r="M14" i="30" s="1"/>
  <c r="E10" i="32"/>
  <c r="L11" i="33"/>
  <c r="L17" i="33" s="1"/>
  <c r="M12" i="34"/>
  <c r="M24" i="34" s="1"/>
  <c r="M12" i="32"/>
  <c r="M22" i="32" s="1"/>
  <c r="F9" i="33"/>
  <c r="E11" i="31"/>
  <c r="H16" i="33"/>
  <c r="H17" i="33" s="1"/>
  <c r="G20" i="31"/>
  <c r="P72" i="9" s="1"/>
  <c r="R72" i="9" l="1"/>
  <c r="Q72" i="9"/>
  <c r="E9" i="30"/>
  <c r="Y15" i="9" l="1"/>
  <c r="Y14" i="9"/>
  <c r="Y16" i="9" s="1"/>
  <c r="Y11" i="9"/>
  <c r="Y10" i="9"/>
  <c r="Y6" i="9"/>
  <c r="Y7" i="9" s="1"/>
  <c r="F71" i="9"/>
  <c r="F56" i="9"/>
  <c r="F50" i="9"/>
  <c r="F48" i="9"/>
  <c r="H47" i="9"/>
  <c r="H46" i="9"/>
  <c r="H45" i="9"/>
  <c r="H44" i="9"/>
  <c r="F43" i="9"/>
  <c r="F36" i="9"/>
  <c r="F37" i="9"/>
  <c r="F38" i="9"/>
  <c r="F35" i="9"/>
  <c r="F34" i="9"/>
  <c r="F33" i="9"/>
  <c r="F32" i="9"/>
  <c r="Y12" i="9" l="1"/>
  <c r="Z6" i="9"/>
  <c r="Z7" i="9" s="1"/>
  <c r="Y17" i="9"/>
  <c r="Y20" i="9" s="1"/>
  <c r="H73" i="9"/>
  <c r="X34" i="9"/>
  <c r="Z34" i="9" s="1"/>
  <c r="U30" i="9"/>
  <c r="U29" i="9"/>
  <c r="U28" i="9"/>
  <c r="X28" i="9" s="1"/>
  <c r="U25" i="9"/>
  <c r="X25" i="9" s="1"/>
  <c r="U48" i="9"/>
  <c r="X48" i="9" s="1"/>
  <c r="Z48" i="9" s="1"/>
  <c r="J57" i="9"/>
  <c r="L57" i="9" s="1"/>
  <c r="U57" i="9" s="1"/>
  <c r="X57" i="9" s="1"/>
  <c r="Z57" i="9" s="1"/>
  <c r="J58" i="9"/>
  <c r="L58" i="9" s="1"/>
  <c r="U58" i="9" s="1"/>
  <c r="X58" i="9" s="1"/>
  <c r="Z58" i="9" s="1"/>
  <c r="J59" i="9"/>
  <c r="L59" i="9" s="1"/>
  <c r="U59" i="9" s="1"/>
  <c r="X59" i="9" s="1"/>
  <c r="Z59" i="9" s="1"/>
  <c r="J60" i="9"/>
  <c r="L60" i="9" s="1"/>
  <c r="U60" i="9" s="1"/>
  <c r="X60" i="9" s="1"/>
  <c r="Z60" i="9" s="1"/>
  <c r="J61" i="9"/>
  <c r="L61" i="9" s="1"/>
  <c r="U61" i="9" s="1"/>
  <c r="X61" i="9" s="1"/>
  <c r="Z61" i="9" s="1"/>
  <c r="J62" i="9"/>
  <c r="L62" i="9" s="1"/>
  <c r="U62" i="9" s="1"/>
  <c r="X62" i="9" s="1"/>
  <c r="Z62" i="9" s="1"/>
  <c r="J63" i="9"/>
  <c r="L63" i="9" s="1"/>
  <c r="U63" i="9" s="1"/>
  <c r="X63" i="9" s="1"/>
  <c r="Z63" i="9" s="1"/>
  <c r="J64" i="9"/>
  <c r="L64" i="9" s="1"/>
  <c r="U64" i="9" s="1"/>
  <c r="X64" i="9" s="1"/>
  <c r="Z64" i="9" s="1"/>
  <c r="J65" i="9"/>
  <c r="L65" i="9" s="1"/>
  <c r="U65" i="9" s="1"/>
  <c r="X65" i="9" s="1"/>
  <c r="Z65" i="9" s="1"/>
  <c r="J66" i="9"/>
  <c r="L66" i="9" s="1"/>
  <c r="U66" i="9" s="1"/>
  <c r="X66" i="9" s="1"/>
  <c r="Z66" i="9" s="1"/>
  <c r="J67" i="9"/>
  <c r="L67" i="9" s="1"/>
  <c r="U67" i="9" s="1"/>
  <c r="X67" i="9" s="1"/>
  <c r="Z67" i="9" s="1"/>
  <c r="J68" i="9"/>
  <c r="L68" i="9" s="1"/>
  <c r="U68" i="9" s="1"/>
  <c r="X68" i="9" s="1"/>
  <c r="Z68" i="9" s="1"/>
  <c r="J69" i="9"/>
  <c r="L69" i="9" s="1"/>
  <c r="U69" i="9" s="1"/>
  <c r="X69" i="9" s="1"/>
  <c r="Z69" i="9" s="1"/>
  <c r="J70" i="9"/>
  <c r="L70" i="9" s="1"/>
  <c r="U70" i="9" s="1"/>
  <c r="X70" i="9" s="1"/>
  <c r="Z70" i="9" s="1"/>
  <c r="J71" i="9"/>
  <c r="L71" i="9" s="1"/>
  <c r="U71" i="9" l="1"/>
  <c r="X71" i="9" s="1"/>
  <c r="Z71" i="9" s="1"/>
  <c r="X30" i="9"/>
  <c r="Z30" i="9" s="1"/>
  <c r="X29" i="9"/>
  <c r="Z29" i="9" s="1"/>
  <c r="Z25" i="9"/>
  <c r="Z28" i="9"/>
  <c r="X7" i="9" l="1"/>
  <c r="L19" i="9" l="1"/>
  <c r="E10" i="26" s="1"/>
  <c r="C40" i="26" l="1"/>
  <c r="G22" i="26"/>
  <c r="L22" i="26" s="1"/>
  <c r="G23" i="26"/>
  <c r="L23" i="26" s="1"/>
  <c r="G24" i="26"/>
  <c r="L24" i="26" s="1"/>
  <c r="G25" i="26"/>
  <c r="L25" i="26" s="1"/>
  <c r="G26" i="26"/>
  <c r="L26" i="26" s="1"/>
  <c r="G27" i="26"/>
  <c r="L27" i="26" s="1"/>
  <c r="G28" i="26"/>
  <c r="L28" i="26" s="1"/>
  <c r="H19" i="9"/>
  <c r="J19" i="9" s="1"/>
  <c r="J39" i="9"/>
  <c r="L39" i="9" s="1"/>
  <c r="U39" i="9" s="1"/>
  <c r="X39" i="9" s="1"/>
  <c r="Z39" i="9" s="1"/>
  <c r="J40" i="9"/>
  <c r="L40" i="9" s="1"/>
  <c r="U40" i="9" s="1"/>
  <c r="X40" i="9" s="1"/>
  <c r="Z40" i="9" s="1"/>
  <c r="J41" i="9"/>
  <c r="L41" i="9" s="1"/>
  <c r="U41" i="9" s="1"/>
  <c r="X41" i="9" s="1"/>
  <c r="Z41" i="9" s="1"/>
  <c r="J42" i="9"/>
  <c r="L42" i="9" s="1"/>
  <c r="U42" i="9" s="1"/>
  <c r="X42" i="9" s="1"/>
  <c r="Z42" i="9" s="1"/>
  <c r="J43" i="9"/>
  <c r="L43" i="9" s="1"/>
  <c r="U43" i="9" s="1"/>
  <c r="X43" i="9" s="1"/>
  <c r="Z43" i="9" s="1"/>
  <c r="J44" i="9"/>
  <c r="L44" i="9" s="1"/>
  <c r="U44" i="9" s="1"/>
  <c r="X44" i="9" s="1"/>
  <c r="Z44" i="9" s="1"/>
  <c r="J45" i="9"/>
  <c r="L45" i="9" s="1"/>
  <c r="U45" i="9" s="1"/>
  <c r="X45" i="9" s="1"/>
  <c r="Z45" i="9" s="1"/>
  <c r="M33" i="27"/>
  <c r="A4" i="28"/>
  <c r="M42" i="28"/>
  <c r="K42" i="28"/>
  <c r="F42" i="28"/>
  <c r="H41" i="28"/>
  <c r="L37" i="28"/>
  <c r="K37" i="28"/>
  <c r="J37" i="28"/>
  <c r="F37" i="28"/>
  <c r="F38" i="28" s="1"/>
  <c r="F39" i="28" s="1"/>
  <c r="D37" i="28"/>
  <c r="H36" i="28"/>
  <c r="M36" i="28" s="1"/>
  <c r="H35" i="28"/>
  <c r="H34" i="28"/>
  <c r="M34" i="28" s="1"/>
  <c r="K38" i="28"/>
  <c r="K39" i="28" s="1"/>
  <c r="H27" i="28"/>
  <c r="M27" i="28" s="1"/>
  <c r="H26" i="28"/>
  <c r="M26" i="28" s="1"/>
  <c r="H25" i="28"/>
  <c r="M25" i="28" s="1"/>
  <c r="H24" i="28"/>
  <c r="M24" i="28" s="1"/>
  <c r="H23" i="28"/>
  <c r="M23" i="28" s="1"/>
  <c r="H22" i="28"/>
  <c r="M22" i="28" s="1"/>
  <c r="H21" i="28"/>
  <c r="M21" i="28" s="1"/>
  <c r="H20" i="28"/>
  <c r="M20" i="28" s="1"/>
  <c r="H19" i="28"/>
  <c r="M19" i="28" s="1"/>
  <c r="H18" i="28"/>
  <c r="M18" i="28" s="1"/>
  <c r="H17" i="28"/>
  <c r="M17" i="28" s="1"/>
  <c r="K13" i="28"/>
  <c r="J13" i="28"/>
  <c r="H12" i="28"/>
  <c r="M12" i="28" s="1"/>
  <c r="H11" i="28"/>
  <c r="M11" i="28" s="1"/>
  <c r="F10" i="28"/>
  <c r="F13" i="28" s="1"/>
  <c r="H9" i="28"/>
  <c r="M9" i="28" s="1"/>
  <c r="J46" i="9"/>
  <c r="L46" i="9" s="1"/>
  <c r="U46" i="9" s="1"/>
  <c r="X46" i="9" s="1"/>
  <c r="Z46" i="9" s="1"/>
  <c r="J38" i="28" l="1"/>
  <c r="J39" i="28" s="1"/>
  <c r="Y27" i="9"/>
  <c r="H37" i="28"/>
  <c r="M35" i="28"/>
  <c r="M37" i="28" s="1"/>
  <c r="A4" i="27" l="1"/>
  <c r="K42" i="27"/>
  <c r="J42" i="27"/>
  <c r="F42" i="27"/>
  <c r="E42" i="27"/>
  <c r="H41" i="27"/>
  <c r="M41" i="27" s="1"/>
  <c r="H40" i="27"/>
  <c r="M40" i="27" s="1"/>
  <c r="H38" i="27"/>
  <c r="M38" i="27" s="1"/>
  <c r="H37" i="27"/>
  <c r="M37" i="27" s="1"/>
  <c r="H36" i="27"/>
  <c r="M36" i="27" s="1"/>
  <c r="H35" i="27"/>
  <c r="M35" i="27" s="1"/>
  <c r="H34" i="27"/>
  <c r="M34" i="27" s="1"/>
  <c r="H32" i="27"/>
  <c r="M32" i="27" s="1"/>
  <c r="H31" i="27"/>
  <c r="M31" i="27" s="1"/>
  <c r="H30" i="27"/>
  <c r="M30" i="27" s="1"/>
  <c r="H29" i="27"/>
  <c r="M29" i="27" s="1"/>
  <c r="H28" i="27"/>
  <c r="M28" i="27" s="1"/>
  <c r="H27" i="27"/>
  <c r="M27" i="27" s="1"/>
  <c r="H26" i="27"/>
  <c r="M26" i="27" s="1"/>
  <c r="H25" i="27"/>
  <c r="M25" i="27" s="1"/>
  <c r="H24" i="27"/>
  <c r="M24" i="27" s="1"/>
  <c r="H23" i="27"/>
  <c r="M23" i="27" s="1"/>
  <c r="H22" i="27"/>
  <c r="M22" i="27" s="1"/>
  <c r="H21" i="27"/>
  <c r="M21" i="27" s="1"/>
  <c r="H20" i="27"/>
  <c r="M20" i="27" s="1"/>
  <c r="H19" i="27"/>
  <c r="M19" i="27" s="1"/>
  <c r="H18" i="27"/>
  <c r="M18" i="27" s="1"/>
  <c r="H17" i="27"/>
  <c r="M17" i="27" s="1"/>
  <c r="H16" i="27"/>
  <c r="M16" i="27" s="1"/>
  <c r="H12" i="27"/>
  <c r="M12" i="27" s="1"/>
  <c r="K11" i="27"/>
  <c r="K13" i="27" s="1"/>
  <c r="J11" i="27"/>
  <c r="F11" i="27"/>
  <c r="E11" i="27"/>
  <c r="E13" i="27" s="1"/>
  <c r="H10" i="27"/>
  <c r="M10" i="27" s="1"/>
  <c r="H8" i="27"/>
  <c r="M8" i="27" s="1"/>
  <c r="C10" i="26"/>
  <c r="G10" i="26" s="1"/>
  <c r="A4" i="26"/>
  <c r="J40" i="26"/>
  <c r="I40" i="26"/>
  <c r="E40" i="26"/>
  <c r="G39" i="26"/>
  <c r="L39" i="26" s="1"/>
  <c r="G38" i="26"/>
  <c r="L38" i="26" s="1"/>
  <c r="G37" i="26"/>
  <c r="L37" i="26" s="1"/>
  <c r="G36" i="26"/>
  <c r="L36" i="26" s="1"/>
  <c r="G35" i="26"/>
  <c r="L35" i="26" s="1"/>
  <c r="G34" i="26"/>
  <c r="L34" i="26" s="1"/>
  <c r="G33" i="26"/>
  <c r="L33" i="26" s="1"/>
  <c r="G32" i="26"/>
  <c r="L32" i="26" s="1"/>
  <c r="G31" i="26"/>
  <c r="L31" i="26" s="1"/>
  <c r="G30" i="26"/>
  <c r="L30" i="26" s="1"/>
  <c r="G29" i="26"/>
  <c r="L29" i="26" s="1"/>
  <c r="G21" i="26"/>
  <c r="L21" i="26" s="1"/>
  <c r="G20" i="26"/>
  <c r="L20" i="26" s="1"/>
  <c r="G19" i="26"/>
  <c r="L19" i="26" s="1"/>
  <c r="G18" i="26"/>
  <c r="L18" i="26" s="1"/>
  <c r="G17" i="26"/>
  <c r="L17" i="26" s="1"/>
  <c r="G16" i="26"/>
  <c r="L16" i="26" s="1"/>
  <c r="G15" i="26"/>
  <c r="L15" i="26" s="1"/>
  <c r="G14" i="26"/>
  <c r="L14" i="26" s="1"/>
  <c r="G13" i="26"/>
  <c r="J11" i="26"/>
  <c r="I11" i="26"/>
  <c r="F11" i="26"/>
  <c r="E11" i="26"/>
  <c r="A4" i="32" l="1"/>
  <c r="A4" i="35"/>
  <c r="A4" i="31"/>
  <c r="A4" i="30"/>
  <c r="A4" i="29"/>
  <c r="A4" i="34"/>
  <c r="A4" i="33"/>
  <c r="Y23" i="9"/>
  <c r="Y73" i="9" s="1"/>
  <c r="G40" i="26"/>
  <c r="L13" i="26"/>
  <c r="L40" i="26"/>
  <c r="T31" i="9" l="1"/>
  <c r="S31" i="9"/>
  <c r="S73" i="9" s="1"/>
  <c r="R31" i="9"/>
  <c r="R73" i="9" s="1"/>
  <c r="Q31" i="9"/>
  <c r="Q73" i="9" s="1"/>
  <c r="P31" i="9"/>
  <c r="P73" i="9" s="1"/>
  <c r="O31" i="9"/>
  <c r="O73" i="9" s="1"/>
  <c r="N31" i="9"/>
  <c r="N73" i="9" s="1"/>
  <c r="M31" i="9"/>
  <c r="L31" i="9"/>
  <c r="U31" i="9" l="1"/>
  <c r="X31" i="9" s="1"/>
  <c r="Z31" i="9" s="1"/>
  <c r="C15" i="27"/>
  <c r="C42" i="27" s="1"/>
  <c r="D16" i="28"/>
  <c r="H16" i="28"/>
  <c r="H15" i="27"/>
  <c r="M15" i="27" s="1"/>
  <c r="J19" i="23"/>
  <c r="J18" i="23"/>
  <c r="J14" i="23"/>
  <c r="J13" i="23"/>
  <c r="J9" i="23"/>
  <c r="K20" i="23"/>
  <c r="K15" i="23"/>
  <c r="K10" i="23"/>
  <c r="H32" i="28" l="1"/>
  <c r="H38" i="28" s="1"/>
  <c r="H39" i="28" s="1"/>
  <c r="D32" i="28"/>
  <c r="D38" i="28" s="1"/>
  <c r="D39" i="28" s="1"/>
  <c r="M16" i="28"/>
  <c r="H42" i="27"/>
  <c r="M42" i="27"/>
  <c r="C15" i="9"/>
  <c r="E15" i="9" s="1"/>
  <c r="D107" i="22"/>
  <c r="E107" i="22" s="1"/>
  <c r="D38" i="22"/>
  <c r="E38" i="22" s="1"/>
  <c r="D95" i="22"/>
  <c r="E95" i="22" s="1"/>
  <c r="D27" i="22"/>
  <c r="E27" i="22" s="1"/>
  <c r="D84" i="22"/>
  <c r="E84" i="22" s="1"/>
  <c r="D16" i="22"/>
  <c r="E16" i="22" s="1"/>
  <c r="D73" i="22"/>
  <c r="E73" i="22" s="1"/>
  <c r="D50" i="22"/>
  <c r="E50" i="22" s="1"/>
  <c r="D62" i="22"/>
  <c r="E62" i="22" s="1"/>
  <c r="J20" i="23"/>
  <c r="C14" i="9"/>
  <c r="E14" i="9" s="1"/>
  <c r="D37" i="22"/>
  <c r="E37" i="22" s="1"/>
  <c r="D94" i="22"/>
  <c r="E94" i="22" s="1"/>
  <c r="D26" i="22"/>
  <c r="E26" i="22" s="1"/>
  <c r="D83" i="22"/>
  <c r="E83" i="22" s="1"/>
  <c r="D15" i="22"/>
  <c r="E15" i="22" s="1"/>
  <c r="D72" i="22"/>
  <c r="E72" i="22" s="1"/>
  <c r="D61" i="22"/>
  <c r="E61" i="22" s="1"/>
  <c r="D49" i="22"/>
  <c r="E49" i="22" s="1"/>
  <c r="D106" i="22"/>
  <c r="E106" i="22" s="1"/>
  <c r="C11" i="9"/>
  <c r="D103" i="22"/>
  <c r="E103" i="22" s="1"/>
  <c r="D34" i="22"/>
  <c r="E34" i="22" s="1"/>
  <c r="D91" i="22"/>
  <c r="E91" i="22" s="1"/>
  <c r="D46" i="22"/>
  <c r="E46" i="22" s="1"/>
  <c r="D69" i="22"/>
  <c r="E69" i="22" s="1"/>
  <c r="D23" i="22"/>
  <c r="E23" i="22" s="1"/>
  <c r="D80" i="22"/>
  <c r="E80" i="22" s="1"/>
  <c r="D12" i="22"/>
  <c r="E12" i="22" s="1"/>
  <c r="D58" i="22"/>
  <c r="E58" i="22" s="1"/>
  <c r="J15" i="23"/>
  <c r="C10" i="9"/>
  <c r="D102" i="22"/>
  <c r="E102" i="22" s="1"/>
  <c r="D68" i="22"/>
  <c r="E68" i="22" s="1"/>
  <c r="D33" i="22"/>
  <c r="E33" i="22" s="1"/>
  <c r="D90" i="22"/>
  <c r="E90" i="22" s="1"/>
  <c r="D57" i="22"/>
  <c r="E57" i="22" s="1"/>
  <c r="D79" i="22"/>
  <c r="E79" i="22" s="1"/>
  <c r="D22" i="22"/>
  <c r="E22" i="22" s="1"/>
  <c r="D11" i="22"/>
  <c r="D45" i="22"/>
  <c r="E45" i="22" s="1"/>
  <c r="J10" i="23"/>
  <c r="C6" i="9"/>
  <c r="D9" i="22"/>
  <c r="M32" i="28" l="1"/>
  <c r="M38" i="28" s="1"/>
  <c r="M39" i="28" s="1"/>
  <c r="U72" i="9"/>
  <c r="X72" i="9" s="1"/>
  <c r="M73" i="9"/>
  <c r="E35" i="22"/>
  <c r="C7" i="29" s="1"/>
  <c r="E11" i="22"/>
  <c r="E13" i="22" s="1"/>
  <c r="E9" i="22"/>
  <c r="F14" i="9"/>
  <c r="L14" i="9"/>
  <c r="U19" i="9"/>
  <c r="X19" i="9" s="1"/>
  <c r="Z19" i="9" l="1"/>
  <c r="X81" i="9"/>
  <c r="G7" i="29"/>
  <c r="Z72" i="9"/>
  <c r="G20" i="9"/>
  <c r="K7" i="29" l="1"/>
  <c r="G9" i="23"/>
  <c r="I20" i="23"/>
  <c r="I15" i="23"/>
  <c r="G19" i="23" l="1"/>
  <c r="G18" i="23"/>
  <c r="G14" i="23"/>
  <c r="G13" i="23"/>
  <c r="U18" i="9" l="1"/>
  <c r="T7" i="9"/>
  <c r="S7" i="9"/>
  <c r="R7" i="9"/>
  <c r="Q7" i="9"/>
  <c r="P7" i="9"/>
  <c r="O7" i="9"/>
  <c r="N7" i="9"/>
  <c r="M7" i="9"/>
  <c r="K7" i="9"/>
  <c r="I7" i="9"/>
  <c r="H7" i="9"/>
  <c r="G7" i="9"/>
  <c r="D7" i="9"/>
  <c r="W7" i="9"/>
  <c r="E6" i="9"/>
  <c r="F6" i="9" s="1"/>
  <c r="F16" i="25"/>
  <c r="G19" i="24"/>
  <c r="G21" i="24" s="1"/>
  <c r="E19" i="24"/>
  <c r="E21" i="24" s="1"/>
  <c r="C19" i="24"/>
  <c r="C21" i="24" s="1"/>
  <c r="C20" i="23"/>
  <c r="H17" i="23"/>
  <c r="C15" i="23"/>
  <c r="H12" i="23"/>
  <c r="C10" i="23"/>
  <c r="H9" i="23"/>
  <c r="G10" i="23"/>
  <c r="G20" i="23"/>
  <c r="D12" i="9"/>
  <c r="J56" i="9"/>
  <c r="L56" i="9" s="1"/>
  <c r="U56" i="9" s="1"/>
  <c r="X56" i="9" s="1"/>
  <c r="Z56" i="9" s="1"/>
  <c r="J55" i="9"/>
  <c r="L55" i="9" s="1"/>
  <c r="U55" i="9" s="1"/>
  <c r="X55" i="9" s="1"/>
  <c r="Z55" i="9" s="1"/>
  <c r="K75" i="9"/>
  <c r="K76" i="9" s="1"/>
  <c r="I75" i="9"/>
  <c r="I76" i="9" s="1"/>
  <c r="G75" i="9"/>
  <c r="J54" i="9"/>
  <c r="L54" i="9" s="1"/>
  <c r="U54" i="9" s="1"/>
  <c r="X54" i="9" s="1"/>
  <c r="Z54" i="9" s="1"/>
  <c r="J53" i="9"/>
  <c r="L53" i="9" s="1"/>
  <c r="U53" i="9" s="1"/>
  <c r="X53" i="9" s="1"/>
  <c r="Z53" i="9" s="1"/>
  <c r="J52" i="9"/>
  <c r="J51" i="9"/>
  <c r="L51" i="9" s="1"/>
  <c r="U51" i="9" s="1"/>
  <c r="X51" i="9" s="1"/>
  <c r="Z51" i="9" s="1"/>
  <c r="J50" i="9"/>
  <c r="L50" i="9" s="1"/>
  <c r="U50" i="9" s="1"/>
  <c r="X50" i="9" s="1"/>
  <c r="Z50" i="9" s="1"/>
  <c r="J49" i="9"/>
  <c r="L49" i="9" s="1"/>
  <c r="U49" i="9" s="1"/>
  <c r="X49" i="9" s="1"/>
  <c r="Z49" i="9" s="1"/>
  <c r="J48" i="9"/>
  <c r="J47" i="9"/>
  <c r="L47" i="9" s="1"/>
  <c r="V42" i="9"/>
  <c r="V39" i="9"/>
  <c r="J38" i="9"/>
  <c r="J37" i="9"/>
  <c r="L37" i="9" s="1"/>
  <c r="J36" i="9"/>
  <c r="L36" i="9" s="1"/>
  <c r="J35" i="9"/>
  <c r="L35" i="9" s="1"/>
  <c r="U35" i="9" s="1"/>
  <c r="X35" i="9" s="1"/>
  <c r="Z35" i="9" s="1"/>
  <c r="J33" i="9"/>
  <c r="L33" i="9" s="1"/>
  <c r="J32" i="9"/>
  <c r="J18" i="9"/>
  <c r="K17" i="9"/>
  <c r="K20" i="9" s="1"/>
  <c r="I17" i="9"/>
  <c r="I20" i="9" s="1"/>
  <c r="W16" i="9"/>
  <c r="W12" i="9"/>
  <c r="H12" i="9"/>
  <c r="U36" i="9" l="1"/>
  <c r="X36" i="9" s="1"/>
  <c r="Z36" i="9" s="1"/>
  <c r="U47" i="9"/>
  <c r="X47" i="9" s="1"/>
  <c r="Z47" i="9" s="1"/>
  <c r="U33" i="9"/>
  <c r="X33" i="9" s="1"/>
  <c r="Z33" i="9" s="1"/>
  <c r="U37" i="9"/>
  <c r="X37" i="9" s="1"/>
  <c r="Z37" i="9" s="1"/>
  <c r="L52" i="9"/>
  <c r="E51" i="22"/>
  <c r="C8" i="30" s="1"/>
  <c r="G8" i="30" s="1"/>
  <c r="M8" i="30" s="1"/>
  <c r="V50" i="9"/>
  <c r="F15" i="9"/>
  <c r="J15" i="9" s="1"/>
  <c r="D16" i="9"/>
  <c r="V51" i="9"/>
  <c r="E96" i="22"/>
  <c r="D8" i="34" s="1"/>
  <c r="H8" i="34" s="1"/>
  <c r="M8" i="34" s="1"/>
  <c r="H18" i="24"/>
  <c r="H10" i="24"/>
  <c r="H11" i="24"/>
  <c r="H12" i="24"/>
  <c r="H13" i="24"/>
  <c r="E28" i="22"/>
  <c r="H14" i="24"/>
  <c r="E11" i="9"/>
  <c r="M11" i="9" s="1"/>
  <c r="H15" i="24"/>
  <c r="H16" i="24"/>
  <c r="H17" i="24"/>
  <c r="E85" i="22"/>
  <c r="D8" i="33" s="1"/>
  <c r="H8" i="33" s="1"/>
  <c r="L8" i="33" s="1"/>
  <c r="E63" i="22"/>
  <c r="C9" i="31" s="1"/>
  <c r="G9" i="31" s="1"/>
  <c r="L9" i="31" s="1"/>
  <c r="V62" i="9"/>
  <c r="C16" i="9"/>
  <c r="H16" i="9"/>
  <c r="H17" i="9" s="1"/>
  <c r="H20" i="9" s="1"/>
  <c r="H74" i="9" s="1"/>
  <c r="H75" i="9" s="1"/>
  <c r="L32" i="9"/>
  <c r="W17" i="9"/>
  <c r="W20" i="9" s="1"/>
  <c r="L38" i="9"/>
  <c r="N15" i="9"/>
  <c r="V59" i="9"/>
  <c r="O14" i="9"/>
  <c r="P14" i="9"/>
  <c r="M14" i="9"/>
  <c r="N14" i="9"/>
  <c r="S14" i="9"/>
  <c r="T14" i="9"/>
  <c r="J14" i="9"/>
  <c r="Q14" i="9"/>
  <c r="R14" i="9"/>
  <c r="V35" i="9"/>
  <c r="E108" i="22"/>
  <c r="D8" i="28" s="1"/>
  <c r="H8" i="28" s="1"/>
  <c r="E74" i="22"/>
  <c r="C8" i="32" s="1"/>
  <c r="G8" i="32" s="1"/>
  <c r="M8" i="32" s="1"/>
  <c r="E39" i="22"/>
  <c r="C8" i="29" s="1"/>
  <c r="E17" i="22"/>
  <c r="E18" i="22" s="1"/>
  <c r="P15" i="9"/>
  <c r="O15" i="9"/>
  <c r="S15" i="9"/>
  <c r="E16" i="9"/>
  <c r="L15" i="9"/>
  <c r="T15" i="9"/>
  <c r="R15" i="9"/>
  <c r="M15" i="9"/>
  <c r="Q15" i="9"/>
  <c r="C12" i="9"/>
  <c r="E10" i="9"/>
  <c r="G15" i="23"/>
  <c r="E7" i="9"/>
  <c r="I10" i="23"/>
  <c r="C7" i="9"/>
  <c r="G8" i="29" l="1"/>
  <c r="C9" i="29"/>
  <c r="C14" i="29" s="1"/>
  <c r="L73" i="9"/>
  <c r="F10" i="9"/>
  <c r="T10" i="9"/>
  <c r="W74" i="9"/>
  <c r="W75" i="9" s="1"/>
  <c r="V37" i="9"/>
  <c r="U38" i="9"/>
  <c r="X38" i="9" s="1"/>
  <c r="Z38" i="9" s="1"/>
  <c r="U52" i="9"/>
  <c r="X52" i="9" s="1"/>
  <c r="Z52" i="9" s="1"/>
  <c r="V33" i="9"/>
  <c r="V47" i="9"/>
  <c r="U32" i="9"/>
  <c r="V36" i="9"/>
  <c r="P11" i="9"/>
  <c r="O11" i="9"/>
  <c r="F11" i="9"/>
  <c r="J11" i="9" s="1"/>
  <c r="L11" i="9"/>
  <c r="T11" i="9"/>
  <c r="R11" i="9"/>
  <c r="Q11" i="9"/>
  <c r="N11" i="9"/>
  <c r="S11" i="9"/>
  <c r="H76" i="9"/>
  <c r="H19" i="24"/>
  <c r="P16" i="9"/>
  <c r="M16" i="9"/>
  <c r="C9" i="27" s="1"/>
  <c r="H9" i="27" s="1"/>
  <c r="M9" i="27" s="1"/>
  <c r="J16" i="9"/>
  <c r="N16" i="9"/>
  <c r="Q16" i="9"/>
  <c r="L16" i="9"/>
  <c r="F16" i="9"/>
  <c r="U14" i="9"/>
  <c r="R16" i="9"/>
  <c r="S16" i="9"/>
  <c r="T16" i="9"/>
  <c r="M8" i="28" s="1"/>
  <c r="O16" i="9"/>
  <c r="U15" i="9"/>
  <c r="L10" i="9"/>
  <c r="Q10" i="9"/>
  <c r="E12" i="9"/>
  <c r="P10" i="9"/>
  <c r="M10" i="9"/>
  <c r="M12" i="9" s="1"/>
  <c r="C7" i="27" s="1"/>
  <c r="H7" i="27" s="1"/>
  <c r="N10" i="9"/>
  <c r="R10" i="9"/>
  <c r="O10" i="9"/>
  <c r="S10" i="9"/>
  <c r="F7" i="9"/>
  <c r="J6" i="9"/>
  <c r="K8" i="29" l="1"/>
  <c r="K9" i="29" s="1"/>
  <c r="G9" i="29"/>
  <c r="G14" i="29" s="1"/>
  <c r="X32" i="9"/>
  <c r="Z32" i="9" s="1"/>
  <c r="V38" i="9"/>
  <c r="V52" i="9"/>
  <c r="V32" i="9"/>
  <c r="V15" i="9"/>
  <c r="X15" i="9"/>
  <c r="Z15" i="9" s="1"/>
  <c r="V14" i="9"/>
  <c r="X14" i="9"/>
  <c r="C9" i="26"/>
  <c r="G9" i="26" s="1"/>
  <c r="L9" i="26" s="1"/>
  <c r="C11" i="27"/>
  <c r="C13" i="27" s="1"/>
  <c r="C43" i="27" s="1"/>
  <c r="N12" i="9"/>
  <c r="N17" i="9" s="1"/>
  <c r="P12" i="9"/>
  <c r="P17" i="9" s="1"/>
  <c r="O12" i="9"/>
  <c r="O17" i="9" s="1"/>
  <c r="U11" i="9"/>
  <c r="T12" i="9"/>
  <c r="S12" i="9"/>
  <c r="S17" i="9" s="1"/>
  <c r="S20" i="9" s="1"/>
  <c r="R12" i="9"/>
  <c r="R17" i="9" s="1"/>
  <c r="Q12" i="9"/>
  <c r="Q17" i="9" s="1"/>
  <c r="U16" i="9"/>
  <c r="V16" i="9" s="1"/>
  <c r="M17" i="9"/>
  <c r="U10" i="9"/>
  <c r="X10" i="9" s="1"/>
  <c r="Z10" i="9" s="1"/>
  <c r="L12" i="9"/>
  <c r="C8" i="26" s="1"/>
  <c r="G8" i="26" s="1"/>
  <c r="L8" i="26" s="1"/>
  <c r="J10" i="9"/>
  <c r="F12" i="9"/>
  <c r="J7" i="9"/>
  <c r="L6" i="9"/>
  <c r="F17" i="9" l="1"/>
  <c r="F20" i="9" s="1"/>
  <c r="X16" i="9"/>
  <c r="Z14" i="9"/>
  <c r="Z16" i="9" s="1"/>
  <c r="V11" i="9"/>
  <c r="X11" i="9"/>
  <c r="U12" i="9"/>
  <c r="T17" i="9"/>
  <c r="M7" i="27"/>
  <c r="M11" i="27" s="1"/>
  <c r="M13" i="27" s="1"/>
  <c r="H11" i="27"/>
  <c r="T20" i="9"/>
  <c r="M20" i="9"/>
  <c r="N20" i="9"/>
  <c r="R20" i="9"/>
  <c r="P20" i="9"/>
  <c r="O20" i="9"/>
  <c r="Q20" i="9"/>
  <c r="J12" i="9"/>
  <c r="V10" i="9"/>
  <c r="U6" i="9"/>
  <c r="U7" i="9" s="1"/>
  <c r="L7" i="9"/>
  <c r="C7" i="26" s="1"/>
  <c r="G7" i="26" s="1"/>
  <c r="U17" i="9" l="1"/>
  <c r="U20" i="9" s="1"/>
  <c r="H13" i="27"/>
  <c r="H43" i="27" s="1"/>
  <c r="X12" i="9"/>
  <c r="X17" i="9" s="1"/>
  <c r="X20" i="9" s="1"/>
  <c r="Z11" i="9"/>
  <c r="Z12" i="9" s="1"/>
  <c r="U24" i="9"/>
  <c r="X24" i="9" s="1"/>
  <c r="U26" i="9"/>
  <c r="Z17" i="9"/>
  <c r="Z20" i="9" s="1"/>
  <c r="P74" i="9"/>
  <c r="P75" i="9" s="1"/>
  <c r="P76" i="9" s="1"/>
  <c r="R74" i="9"/>
  <c r="R75" i="9" s="1"/>
  <c r="R76" i="9" s="1"/>
  <c r="N74" i="9"/>
  <c r="N75" i="9" s="1"/>
  <c r="N76" i="9" s="1"/>
  <c r="Q74" i="9"/>
  <c r="Q75" i="9" s="1"/>
  <c r="Q76" i="9" s="1"/>
  <c r="O74" i="9"/>
  <c r="O75" i="9" s="1"/>
  <c r="O76" i="9" s="1"/>
  <c r="V12" i="9"/>
  <c r="V17" i="9" s="1"/>
  <c r="V20" i="9" s="1"/>
  <c r="C11" i="26"/>
  <c r="C41" i="26" s="1"/>
  <c r="B7" i="25"/>
  <c r="G18" i="22"/>
  <c r="V7" i="9"/>
  <c r="J17" i="9"/>
  <c r="J20" i="9" s="1"/>
  <c r="E24" i="22"/>
  <c r="E29" i="22" s="1"/>
  <c r="L17" i="9"/>
  <c r="O8" i="9"/>
  <c r="N8" i="9"/>
  <c r="R8" i="9"/>
  <c r="M8" i="9"/>
  <c r="T8" i="9"/>
  <c r="P8" i="9"/>
  <c r="Q8" i="9"/>
  <c r="S8" i="9"/>
  <c r="X26" i="9" l="1"/>
  <c r="Z26" i="9" s="1"/>
  <c r="Z24" i="9"/>
  <c r="S74" i="9"/>
  <c r="S75" i="9" s="1"/>
  <c r="S76" i="9" s="1"/>
  <c r="U23" i="9"/>
  <c r="M74" i="9"/>
  <c r="M75" i="9" s="1"/>
  <c r="L20" i="9"/>
  <c r="L7" i="26"/>
  <c r="L11" i="26" s="1"/>
  <c r="G11" i="26"/>
  <c r="G41" i="26" s="1"/>
  <c r="B8" i="25"/>
  <c r="G29" i="22"/>
  <c r="E40" i="22"/>
  <c r="L8" i="9"/>
  <c r="X23" i="9" l="1"/>
  <c r="L74" i="9"/>
  <c r="L75" i="9" s="1"/>
  <c r="L76" i="9" s="1"/>
  <c r="T73" i="9"/>
  <c r="B9" i="25"/>
  <c r="G40" i="22"/>
  <c r="E47" i="22"/>
  <c r="E52" i="22" l="1"/>
  <c r="C7" i="30"/>
  <c r="Z23" i="9"/>
  <c r="U27" i="9"/>
  <c r="U73" i="9" s="1"/>
  <c r="T74" i="9"/>
  <c r="T75" i="9" s="1"/>
  <c r="T76" i="9" s="1"/>
  <c r="B10" i="25"/>
  <c r="G52" i="22"/>
  <c r="E59" i="22"/>
  <c r="E64" i="22" l="1"/>
  <c r="C8" i="31"/>
  <c r="G7" i="30"/>
  <c r="C9" i="30"/>
  <c r="C15" i="30" s="1"/>
  <c r="X27" i="9"/>
  <c r="X73" i="9" s="1"/>
  <c r="B11" i="25"/>
  <c r="G64" i="22"/>
  <c r="E70" i="22"/>
  <c r="C7" i="32" l="1"/>
  <c r="E75" i="22"/>
  <c r="J75" i="22" s="1"/>
  <c r="M7" i="30"/>
  <c r="M9" i="30" s="1"/>
  <c r="G9" i="30"/>
  <c r="G15" i="30" s="1"/>
  <c r="G8" i="31"/>
  <c r="C11" i="31"/>
  <c r="C21" i="31" s="1"/>
  <c r="U74" i="9"/>
  <c r="X74" i="9" s="1"/>
  <c r="X82" i="9" s="1"/>
  <c r="X83" i="9" s="1"/>
  <c r="U75" i="9"/>
  <c r="Z27" i="9"/>
  <c r="Z73" i="9" s="1"/>
  <c r="B12" i="25"/>
  <c r="G75" i="22"/>
  <c r="E81" i="22"/>
  <c r="E86" i="22" l="1"/>
  <c r="D7" i="33"/>
  <c r="L8" i="31"/>
  <c r="L11" i="31" s="1"/>
  <c r="G11" i="31"/>
  <c r="G21" i="31" s="1"/>
  <c r="G7" i="32"/>
  <c r="C10" i="32"/>
  <c r="C23" i="32" s="1"/>
  <c r="X75" i="9"/>
  <c r="B13" i="25"/>
  <c r="G86" i="22"/>
  <c r="E104" i="22"/>
  <c r="E92" i="22"/>
  <c r="E97" i="22" l="1"/>
  <c r="D7" i="34"/>
  <c r="E109" i="22"/>
  <c r="D7" i="28"/>
  <c r="M7" i="32"/>
  <c r="M10" i="32" s="1"/>
  <c r="G10" i="32"/>
  <c r="G23" i="32" s="1"/>
  <c r="H7" i="33"/>
  <c r="D9" i="33"/>
  <c r="D18" i="33" s="1"/>
  <c r="B15" i="25"/>
  <c r="G109" i="22"/>
  <c r="B14" i="25"/>
  <c r="B16" i="25" s="1"/>
  <c r="C7" i="25" s="1"/>
  <c r="G97" i="22"/>
  <c r="E110" i="22"/>
  <c r="G110" i="22" s="1"/>
  <c r="H9" i="33" l="1"/>
  <c r="H18" i="33" s="1"/>
  <c r="L7" i="33"/>
  <c r="L9" i="33" s="1"/>
  <c r="H7" i="28"/>
  <c r="D10" i="28"/>
  <c r="D13" i="28" s="1"/>
  <c r="D40" i="28" s="1"/>
  <c r="D42" i="28" s="1"/>
  <c r="H7" i="34"/>
  <c r="D10" i="34"/>
  <c r="D25" i="34" s="1"/>
  <c r="C10" i="25"/>
  <c r="D10" i="25" s="1"/>
  <c r="G10" i="25" s="1"/>
  <c r="C12" i="25"/>
  <c r="D12" i="25" s="1"/>
  <c r="G12" i="25" s="1"/>
  <c r="C13" i="25"/>
  <c r="D13" i="25" s="1"/>
  <c r="G13" i="25" s="1"/>
  <c r="C15" i="25"/>
  <c r="D15" i="25" s="1"/>
  <c r="G15" i="25" s="1"/>
  <c r="C8" i="25"/>
  <c r="D8" i="25" s="1"/>
  <c r="G8" i="25" s="1"/>
  <c r="C11" i="25"/>
  <c r="D11" i="25" s="1"/>
  <c r="G11" i="25" s="1"/>
  <c r="C14" i="25"/>
  <c r="D14" i="25" s="1"/>
  <c r="G14" i="25" s="1"/>
  <c r="C9" i="25"/>
  <c r="D9" i="25" s="1"/>
  <c r="G9" i="25" s="1"/>
  <c r="D7" i="25"/>
  <c r="G7" i="25" s="1"/>
  <c r="H10" i="28" l="1"/>
  <c r="H13" i="28" s="1"/>
  <c r="H40" i="28" s="1"/>
  <c r="H42" i="28" s="1"/>
  <c r="M7" i="28"/>
  <c r="M10" i="28" s="1"/>
  <c r="M13" i="28" s="1"/>
  <c r="D16" i="25"/>
  <c r="F31" i="9" s="1"/>
  <c r="U77" i="9"/>
  <c r="F73" i="9" l="1"/>
  <c r="J31" i="9"/>
  <c r="M76" i="9"/>
  <c r="U76" i="9" s="1"/>
  <c r="J73" i="9" l="1"/>
  <c r="V31" i="9"/>
  <c r="V73" i="9" s="1"/>
  <c r="F74" i="9"/>
  <c r="F75" i="9"/>
  <c r="F76" i="9"/>
  <c r="H10" i="34"/>
  <c r="H25" i="34" s="1"/>
  <c r="F10" i="34"/>
  <c r="M7" i="34"/>
  <c r="M10" i="34" s="1"/>
  <c r="V74" i="9" l="1"/>
  <c r="Y74" i="9" s="1"/>
  <c r="V75" i="9"/>
  <c r="J74" i="9"/>
  <c r="J75" i="9" s="1"/>
  <c r="J76" i="9"/>
  <c r="Y75" i="9" l="1"/>
  <c r="Z74" i="9"/>
</calcChain>
</file>

<file path=xl/sharedStrings.xml><?xml version="1.0" encoding="utf-8"?>
<sst xmlns="http://schemas.openxmlformats.org/spreadsheetml/2006/main" count="513" uniqueCount="272">
  <si>
    <t>York College Association, Inc</t>
  </si>
  <si>
    <t>Proposed Budget/Expenditure Report - FY 2024</t>
  </si>
  <si>
    <t>As of January 31, 2025</t>
  </si>
  <si>
    <t>Semesters</t>
  </si>
  <si>
    <t>Initial Enroll. 85% of FY2024 Actuals</t>
  </si>
  <si>
    <t>Form A Adj</t>
  </si>
  <si>
    <t>Adj Enroll.</t>
  </si>
  <si>
    <t>Initial Budget</t>
  </si>
  <si>
    <t>Adjustment</t>
  </si>
  <si>
    <t>Adjusted Budget</t>
  </si>
  <si>
    <t>Budget Committee</t>
  </si>
  <si>
    <t>Athletic Department</t>
  </si>
  <si>
    <t>Child &amp; Family Center</t>
  </si>
  <si>
    <t>Study/Away/Aboard Fund</t>
  </si>
  <si>
    <t>Game Room</t>
  </si>
  <si>
    <t>YC Radio Station</t>
  </si>
  <si>
    <t>A.P.A.F.</t>
  </si>
  <si>
    <t>Student Government</t>
  </si>
  <si>
    <t>Student Clubs</t>
  </si>
  <si>
    <t>Total</t>
  </si>
  <si>
    <t>Proposed Budget 2015-2016</t>
  </si>
  <si>
    <t>FY25 Budget Approved</t>
  </si>
  <si>
    <t>Actual Expenditures As of 01/31/25</t>
  </si>
  <si>
    <t>Projected Expenditures - December - June</t>
  </si>
  <si>
    <t>Summer @ $15</t>
  </si>
  <si>
    <t xml:space="preserve">Fall </t>
  </si>
  <si>
    <t xml:space="preserve">     Full-Time @ $72.15</t>
  </si>
  <si>
    <t xml:space="preserve">     Part-Time @ $52.15</t>
  </si>
  <si>
    <t>Spring</t>
  </si>
  <si>
    <t>Total Student Fees</t>
  </si>
  <si>
    <t>Other Rev (Gameroom)</t>
  </si>
  <si>
    <t>Reappropriations</t>
  </si>
  <si>
    <t>Total Revenue</t>
  </si>
  <si>
    <t>Operating Expenses</t>
  </si>
  <si>
    <t>Athletics &amp; Recreation</t>
  </si>
  <si>
    <t>A.P.A.F</t>
  </si>
  <si>
    <t>Student Affairs Admin</t>
  </si>
  <si>
    <t>Student Club</t>
  </si>
  <si>
    <t>Family Center</t>
  </si>
  <si>
    <t xml:space="preserve">Study/Away/Aboard </t>
  </si>
  <si>
    <t xml:space="preserve">Administrative Service </t>
  </si>
  <si>
    <t>Attorney Fee</t>
  </si>
  <si>
    <t>Auditing Fee</t>
  </si>
  <si>
    <t>Music License Fees</t>
  </si>
  <si>
    <t xml:space="preserve">Director's Insurance </t>
  </si>
  <si>
    <t>General Liability Insurance</t>
  </si>
  <si>
    <t>Use of Facilities</t>
  </si>
  <si>
    <t>Leadership Confer/Retreats</t>
  </si>
  <si>
    <t xml:space="preserve">  Club Fairs</t>
  </si>
  <si>
    <t xml:space="preserve">  Senior Dance</t>
  </si>
  <si>
    <t xml:space="preserve">  Salary</t>
  </si>
  <si>
    <t xml:space="preserve">Career Curriculum </t>
  </si>
  <si>
    <t>CPR Workshop</t>
  </si>
  <si>
    <t>Counseling Department VCG: UWILL</t>
  </si>
  <si>
    <t>Office of Student Activities</t>
  </si>
  <si>
    <t>Pandora' Box</t>
  </si>
  <si>
    <t>Student Orientation - additional funding approved 5/23/24</t>
  </si>
  <si>
    <t>President's Fund</t>
  </si>
  <si>
    <t>Yearbook Committee</t>
  </si>
  <si>
    <t>Undergraduate Research Day</t>
  </si>
  <si>
    <t>Open House</t>
  </si>
  <si>
    <t>Accepted Student Reception</t>
  </si>
  <si>
    <t>Commencement / Carnival</t>
  </si>
  <si>
    <t xml:space="preserve">Study Up Til Midnight - Fall </t>
  </si>
  <si>
    <t xml:space="preserve">Nursing Lobby Day </t>
  </si>
  <si>
    <t>Commencement/Carnival</t>
  </si>
  <si>
    <t>Referendum Expenses</t>
  </si>
  <si>
    <t xml:space="preserve">Total Expenses </t>
  </si>
  <si>
    <t>Total Revenue Less Expenses (Unallocated)</t>
  </si>
  <si>
    <t>Total Adjusted Budget &amp; Unallocated Funds</t>
  </si>
  <si>
    <t>Beginning Balance</t>
  </si>
  <si>
    <t>Total Revenue &amp; Reserve Re-Allocations</t>
  </si>
  <si>
    <t>Projected Surplus/(Deficit)</t>
  </si>
  <si>
    <t>Projected Ending Balance</t>
  </si>
  <si>
    <t xml:space="preserve">Note: </t>
  </si>
  <si>
    <t>Projected ending balance doesn't  include  interest earned and other income.</t>
  </si>
  <si>
    <t>Budget Committee (Dept. 75060)</t>
  </si>
  <si>
    <t xml:space="preserve"> Budget/Expenditure Report</t>
  </si>
  <si>
    <t>Y-T-D         Encumbrances</t>
  </si>
  <si>
    <t>Y-T-D        Expenses</t>
  </si>
  <si>
    <t>Variances</t>
  </si>
  <si>
    <t>Summer</t>
  </si>
  <si>
    <t xml:space="preserve">Reappropration </t>
  </si>
  <si>
    <t>Student Government Elections</t>
  </si>
  <si>
    <t>Board General &amp; Catering</t>
  </si>
  <si>
    <t>Student Orientation - additional funding approved 4/21/22</t>
  </si>
  <si>
    <t>Club Fairs</t>
  </si>
  <si>
    <t>President Fund</t>
  </si>
  <si>
    <t>OT Pinning Ceremony</t>
  </si>
  <si>
    <t>Commencement</t>
  </si>
  <si>
    <t>Total Operating Expenses</t>
  </si>
  <si>
    <t>Unallocated Funds</t>
  </si>
  <si>
    <t>Athletic Department (Dept. 75012)</t>
  </si>
  <si>
    <t>Mid-Year Adjustments</t>
  </si>
  <si>
    <t>Prior Year (FY19) Budget Deficit</t>
  </si>
  <si>
    <t>Reappropriation</t>
  </si>
  <si>
    <t>Total Revenue &amp; Reappropriation</t>
  </si>
  <si>
    <t>Professional Services</t>
  </si>
  <si>
    <t>Printing &amp; Duplicating</t>
  </si>
  <si>
    <t>Athletic Supplies</t>
  </si>
  <si>
    <t>Other Supplies</t>
  </si>
  <si>
    <t>Periodicals/Subcriptions</t>
  </si>
  <si>
    <t>Travel - Air Fare</t>
  </si>
  <si>
    <t>Local - Ground Transportation</t>
  </si>
  <si>
    <t xml:space="preserve">Hotel &amp; Lodging </t>
  </si>
  <si>
    <t>`</t>
  </si>
  <si>
    <t>Meals</t>
  </si>
  <si>
    <t>Registration Fees</t>
  </si>
  <si>
    <t>Rental</t>
  </si>
  <si>
    <t>Services-Temporary</t>
  </si>
  <si>
    <t>Referee &amp; Game Aide</t>
  </si>
  <si>
    <t>Catering</t>
  </si>
  <si>
    <t>Awards Dinner</t>
  </si>
  <si>
    <t>General Athletic</t>
  </si>
  <si>
    <t>Membership</t>
  </si>
  <si>
    <t>Athletic Insurance</t>
  </si>
  <si>
    <t>Equipment</t>
  </si>
  <si>
    <t>Computer Maintenance</t>
  </si>
  <si>
    <t>Software</t>
  </si>
  <si>
    <t>Sipping</t>
  </si>
  <si>
    <t>Maintenance</t>
  </si>
  <si>
    <t>Recruitment Expenses</t>
  </si>
  <si>
    <t>Child &amp; Family Center (Dept. 60023)</t>
  </si>
  <si>
    <t>Y-T-D         Expenses &amp; Encumbrances</t>
  </si>
  <si>
    <t>Salary</t>
  </si>
  <si>
    <t>Study Away / Abroad Fund (Dept. 70023)</t>
  </si>
  <si>
    <t>Budget/Expenditure Report</t>
  </si>
  <si>
    <t>Encumbrances</t>
  </si>
  <si>
    <t>Out of Town-Non PSC Lodging</t>
  </si>
  <si>
    <t>Services - Training</t>
  </si>
  <si>
    <t>Game Room (Dept. 75075)</t>
  </si>
  <si>
    <t xml:space="preserve">Y-T-D         Expenses </t>
  </si>
  <si>
    <t>Game Room Revenue</t>
  </si>
  <si>
    <t>Pool Table Maintenance</t>
  </si>
  <si>
    <t>Equipment Replacement (Video &amp; Pool Table)</t>
  </si>
  <si>
    <t>Furniture Replacement</t>
  </si>
  <si>
    <t>Tournament - Catering &amp; Trophies</t>
  </si>
  <si>
    <t>Supplies</t>
  </si>
  <si>
    <t>YC Radio Station (Dept. 60031)</t>
  </si>
  <si>
    <t>Webcasters / Fees</t>
  </si>
  <si>
    <t>Transcription Services</t>
  </si>
  <si>
    <t>Promotional Items</t>
  </si>
  <si>
    <t>Equipment Maintenance</t>
  </si>
  <si>
    <t>Association Performing Arts Fund (Dept. 10074)</t>
  </si>
  <si>
    <t>Date</t>
  </si>
  <si>
    <t>Total Clubs Award</t>
  </si>
  <si>
    <t>Student Government Association (Dept. 75055)</t>
  </si>
  <si>
    <t xml:space="preserve">Reappropriation </t>
  </si>
  <si>
    <t>Administrative Fee</t>
  </si>
  <si>
    <t>African Student Association Cl</t>
  </si>
  <si>
    <t>2469</t>
  </si>
  <si>
    <t>Balck History Heritage Society</t>
  </si>
  <si>
    <t>2470</t>
  </si>
  <si>
    <t>Career Services</t>
  </si>
  <si>
    <t>Chinese Student Association</t>
  </si>
  <si>
    <t>0144</t>
  </si>
  <si>
    <t>Hispanic Cultural</t>
  </si>
  <si>
    <t>Leadership Conference</t>
  </si>
  <si>
    <t>Mental Health Initiative</t>
  </si>
  <si>
    <t>Pandora's Box</t>
  </si>
  <si>
    <t>PC not applicable</t>
  </si>
  <si>
    <t>Special Projects</t>
  </si>
  <si>
    <t>Student Orientaton</t>
  </si>
  <si>
    <t>Student Clubs (Dept. 75062)</t>
  </si>
  <si>
    <t>Reallocation</t>
  </si>
  <si>
    <t>Aviation Club</t>
  </si>
  <si>
    <t>Clinical Lab Club</t>
  </si>
  <si>
    <t>Computer</t>
  </si>
  <si>
    <t>Cultural Diversity</t>
  </si>
  <si>
    <t>Disabled Students</t>
  </si>
  <si>
    <t>Financial Aid Fund</t>
  </si>
  <si>
    <t>Haitian Student Association</t>
  </si>
  <si>
    <t>Impact Club</t>
  </si>
  <si>
    <t>Music Discipline</t>
  </si>
  <si>
    <t>Muslim Student Association</t>
  </si>
  <si>
    <t>N.A.B.A. Club</t>
  </si>
  <si>
    <t>Nursing Club</t>
  </si>
  <si>
    <t>Social Work Club</t>
  </si>
  <si>
    <t>YSOTA</t>
  </si>
  <si>
    <t>Total Fall</t>
  </si>
  <si>
    <t>Total Spring</t>
  </si>
  <si>
    <t>Transfer from Budget Committee</t>
  </si>
  <si>
    <t>Adjustded Unallocated Funds</t>
  </si>
  <si>
    <t>Pandora's Box (Program 14137)</t>
  </si>
  <si>
    <t>Budget Awarded</t>
  </si>
  <si>
    <t>Total Budget Awarded</t>
  </si>
  <si>
    <t xml:space="preserve">Printing </t>
  </si>
  <si>
    <t>Stipends</t>
  </si>
  <si>
    <t>Conference</t>
  </si>
  <si>
    <t>Web/Online</t>
  </si>
  <si>
    <t>Memberships</t>
  </si>
  <si>
    <t>Software / Training</t>
  </si>
  <si>
    <t>Awards</t>
  </si>
  <si>
    <t>YORK CLLEGE ASSOCIATION</t>
  </si>
  <si>
    <t>Fiscal Year 2024 - 2025</t>
  </si>
  <si>
    <t>Admistrative Fee Breakdown</t>
  </si>
  <si>
    <t>Referendums</t>
  </si>
  <si>
    <t>Total Initial Revenue</t>
  </si>
  <si>
    <t>% of Admin Fee</t>
  </si>
  <si>
    <t>Total Admin Fee</t>
  </si>
  <si>
    <t>Nearest Hundreth</t>
  </si>
  <si>
    <t xml:space="preserve">     Budget Committee</t>
  </si>
  <si>
    <t xml:space="preserve">     Athletic Department</t>
  </si>
  <si>
    <t xml:space="preserve">     Child and Family Center</t>
  </si>
  <si>
    <t xml:space="preserve">     Study/Away/Aboard Program</t>
  </si>
  <si>
    <t xml:space="preserve">     Game Room</t>
  </si>
  <si>
    <t xml:space="preserve">     YC Radio Station</t>
  </si>
  <si>
    <t xml:space="preserve">     Associatin Performing Arts Fund</t>
  </si>
  <si>
    <t xml:space="preserve">     Student Government</t>
  </si>
  <si>
    <t xml:space="preserve">     Student Clubs</t>
  </si>
  <si>
    <t>Association Fee</t>
  </si>
  <si>
    <t>YORK COLLEGE ASSOCIATION</t>
  </si>
  <si>
    <t>REFERENDUMS AND APPROVED PROGRAMS</t>
  </si>
  <si>
    <t>FOR FISCAL YEAR 2024 - 2025</t>
  </si>
  <si>
    <t>As of July 1, 2024</t>
  </si>
  <si>
    <t>BUDGET COMMITTEE</t>
  </si>
  <si>
    <t>30% of Earmarking</t>
  </si>
  <si>
    <t>SUMMER:</t>
  </si>
  <si>
    <t>PART TIME STUDENTS @ $15.00</t>
  </si>
  <si>
    <t>FALL:</t>
  </si>
  <si>
    <t>FULL TIME STUDENTS @ $21.15</t>
  </si>
  <si>
    <t>PART TIME STUDENTS @ $11.15</t>
  </si>
  <si>
    <t>TOTAL FALL</t>
  </si>
  <si>
    <t>SPRING:</t>
  </si>
  <si>
    <t>TOTAL BUDGET COMMITTEE BALANCE</t>
  </si>
  <si>
    <t>ATHLETIC FUND</t>
  </si>
  <si>
    <t>FULL TIME STUDENTS @ $23.00</t>
  </si>
  <si>
    <t>PART TIME STUDENTS @ $16.00</t>
  </si>
  <si>
    <t>TOTAL ATHLETIC FUND</t>
  </si>
  <si>
    <t>CHILD &amp; FAMILY CENTER</t>
  </si>
  <si>
    <t>FULL TIME STUDENTS @ $5.00</t>
  </si>
  <si>
    <t>PART TIME STUDENTS @ $5.00</t>
  </si>
  <si>
    <t>TOTAL CHILD &amp; FAMILY CENTER</t>
  </si>
  <si>
    <t>STUDY AWAY/ABROAD PROGRAM</t>
  </si>
  <si>
    <t>FULL TIME STUDENTS @ $4.00</t>
  </si>
  <si>
    <t>PART TIME STUDENTS @ $3.00</t>
  </si>
  <si>
    <t>TOTAL STUDY AWAY/ABROAD PROGRAM</t>
  </si>
  <si>
    <t>GAMEROOM</t>
  </si>
  <si>
    <t>FULL TIME STUDENTS @ $3.00</t>
  </si>
  <si>
    <t>TOTAL GAMEROOM</t>
  </si>
  <si>
    <t>Y.C RADIO STATION</t>
  </si>
  <si>
    <t>PART TIME STUDENTS @ $4.00</t>
  </si>
  <si>
    <t>TOTAL Y.C RADIO STATION</t>
  </si>
  <si>
    <t>PERFORMING ARTS FUND</t>
  </si>
  <si>
    <t>FULL TIME STUDENTS @ $2.00</t>
  </si>
  <si>
    <t>PART TIME STUDENTS @ $2.00</t>
  </si>
  <si>
    <t>TOTAL PERFORMING ARTS FUND BALANCE</t>
  </si>
  <si>
    <t>STUDENT GOVERNMENT</t>
  </si>
  <si>
    <t>FULL TIME STUDENTS @ $6.00</t>
  </si>
  <si>
    <t>PART TIME STUDENTS @ $6.00</t>
  </si>
  <si>
    <t>TOTAL STUDENT GOVERNMENT</t>
  </si>
  <si>
    <t>STUDENT CLUBS</t>
  </si>
  <si>
    <t>TOTAL STUDENT CLUBS</t>
  </si>
  <si>
    <t>GRAND TOTAL</t>
  </si>
  <si>
    <t>Student Activity Fee Enrollment</t>
  </si>
  <si>
    <t>Fiscal Year 2024 Acual vs 2025 Budget</t>
  </si>
  <si>
    <t>Student Association Fee</t>
  </si>
  <si>
    <t>FY2021 Actual</t>
  </si>
  <si>
    <t>FY2022  Proposed</t>
  </si>
  <si>
    <t>FY2024  Actual</t>
  </si>
  <si>
    <t>FY2025  Proposed</t>
  </si>
  <si>
    <t>FY2025  Actual</t>
  </si>
  <si>
    <t xml:space="preserve">     Summer</t>
  </si>
  <si>
    <t>Total Summer</t>
  </si>
  <si>
    <t xml:space="preserve">     Fall</t>
  </si>
  <si>
    <t>Full Time</t>
  </si>
  <si>
    <t>Part Time</t>
  </si>
  <si>
    <t xml:space="preserve">     Spring</t>
  </si>
  <si>
    <t>Fiscal Year 2024-2025</t>
  </si>
  <si>
    <t>Student Association Fee Breakdown</t>
  </si>
  <si>
    <t>University Student Senate</t>
  </si>
  <si>
    <t>Total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</si>
</sst>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&quot;$&quot;* #,##0_);_(&quot;$&quot;* \(#,##0\);_(&quot;$&quot;* &quot;-&quot;??_);_(@_)"/>
    <numFmt numFmtId="167" formatCode="mm/dd/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10"/>
      <color indexed="8"/>
      <name val="MS Sans Serif"/>
    </font>
    <font>
      <b/>
      <sz val="10"/>
      <color rgb="FF00B0F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theme="1"/>
      <name val="Bookman Old Style"/>
      <family val="1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12" fillId="0" borderId="0"/>
    <xf numFmtId="0" fontId="12" fillId="0" borderId="0"/>
  </cellStyleXfs>
  <cellXfs count="28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164" fontId="2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1" applyNumberFormat="1" applyFont="1"/>
    <xf numFmtId="164" fontId="6" fillId="0" borderId="0" xfId="1" applyNumberFormat="1" applyFont="1"/>
    <xf numFmtId="164" fontId="5" fillId="0" borderId="0" xfId="1" applyNumberFormat="1" applyFont="1"/>
    <xf numFmtId="164" fontId="5" fillId="0" borderId="2" xfId="1" applyNumberFormat="1" applyFont="1" applyBorder="1"/>
    <xf numFmtId="1" fontId="0" fillId="0" borderId="0" xfId="0" applyNumberFormat="1" applyAlignment="1">
      <alignment horizontal="right"/>
    </xf>
    <xf numFmtId="164" fontId="5" fillId="0" borderId="1" xfId="1" applyNumberFormat="1" applyFont="1" applyBorder="1"/>
    <xf numFmtId="164" fontId="6" fillId="0" borderId="1" xfId="1" applyNumberFormat="1" applyFont="1" applyBorder="1"/>
    <xf numFmtId="0" fontId="3" fillId="0" borderId="0" xfId="0" applyFont="1" applyAlignment="1">
      <alignment horizontal="right"/>
    </xf>
    <xf numFmtId="164" fontId="1" fillId="0" borderId="0" xfId="1" applyNumberFormat="1" applyFont="1"/>
    <xf numFmtId="9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43" fontId="1" fillId="0" borderId="0" xfId="1" applyFont="1"/>
    <xf numFmtId="43" fontId="1" fillId="0" borderId="0" xfId="1" applyFont="1" applyBorder="1"/>
    <xf numFmtId="44" fontId="1" fillId="0" borderId="0" xfId="2" applyFont="1"/>
    <xf numFmtId="43" fontId="1" fillId="0" borderId="0" xfId="1" applyFont="1" applyAlignment="1"/>
    <xf numFmtId="43" fontId="1" fillId="0" borderId="0" xfId="1" applyFont="1" applyBorder="1" applyAlignment="1"/>
    <xf numFmtId="43" fontId="1" fillId="0" borderId="1" xfId="1" applyFont="1" applyBorder="1"/>
    <xf numFmtId="44" fontId="1" fillId="0" borderId="1" xfId="2" applyFont="1" applyBorder="1"/>
    <xf numFmtId="43" fontId="0" fillId="0" borderId="0" xfId="1" applyFont="1"/>
    <xf numFmtId="164" fontId="2" fillId="0" borderId="0" xfId="1" applyNumberFormat="1" applyFont="1"/>
    <xf numFmtId="0" fontId="9" fillId="0" borderId="0" xfId="0" applyFont="1"/>
    <xf numFmtId="165" fontId="5" fillId="0" borderId="0" xfId="0" applyNumberFormat="1" applyFont="1" applyAlignment="1">
      <alignment horizontal="left"/>
    </xf>
    <xf numFmtId="166" fontId="0" fillId="0" borderId="0" xfId="0" applyNumberFormat="1"/>
    <xf numFmtId="164" fontId="6" fillId="0" borderId="11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6" fillId="0" borderId="11" xfId="3" applyNumberFormat="1" applyFont="1" applyFill="1" applyBorder="1" applyAlignment="1">
      <alignment horizontal="center" wrapText="1"/>
    </xf>
    <xf numFmtId="164" fontId="6" fillId="0" borderId="0" xfId="3" applyNumberFormat="1" applyFont="1" applyFill="1" applyBorder="1" applyAlignment="1">
      <alignment horizontal="center" wrapText="1"/>
    </xf>
    <xf numFmtId="164" fontId="5" fillId="0" borderId="0" xfId="1" applyNumberFormat="1" applyFont="1" applyBorder="1"/>
    <xf numFmtId="0" fontId="3" fillId="0" borderId="23" xfId="0" applyFont="1" applyBorder="1"/>
    <xf numFmtId="43" fontId="2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166" fontId="1" fillId="0" borderId="25" xfId="2" applyNumberFormat="1" applyFont="1" applyBorder="1"/>
    <xf numFmtId="10" fontId="0" fillId="0" borderId="25" xfId="0" applyNumberFormat="1" applyBorder="1"/>
    <xf numFmtId="166" fontId="0" fillId="0" borderId="25" xfId="0" applyNumberFormat="1" applyBorder="1"/>
    <xf numFmtId="164" fontId="1" fillId="3" borderId="26" xfId="1" applyNumberFormat="1" applyFont="1" applyFill="1" applyBorder="1"/>
    <xf numFmtId="0" fontId="0" fillId="0" borderId="27" xfId="0" applyBorder="1" applyAlignment="1">
      <alignment horizontal="left"/>
    </xf>
    <xf numFmtId="164" fontId="1" fillId="0" borderId="0" xfId="1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164" fontId="1" fillId="3" borderId="28" xfId="1" applyNumberFormat="1" applyFont="1" applyFill="1" applyBorder="1"/>
    <xf numFmtId="0" fontId="0" fillId="0" borderId="27" xfId="0" applyBorder="1" applyAlignment="1">
      <alignment horizontal="left" wrapText="1"/>
    </xf>
    <xf numFmtId="164" fontId="1" fillId="0" borderId="0" xfId="1" applyNumberFormat="1" applyFont="1" applyBorder="1" applyAlignment="1"/>
    <xf numFmtId="164" fontId="1" fillId="3" borderId="28" xfId="1" applyNumberFormat="1" applyFont="1" applyFill="1" applyBorder="1" applyAlignment="1"/>
    <xf numFmtId="0" fontId="3" fillId="0" borderId="29" xfId="0" applyFont="1" applyBorder="1" applyAlignment="1">
      <alignment horizontal="right"/>
    </xf>
    <xf numFmtId="164" fontId="1" fillId="0" borderId="15" xfId="1" applyNumberFormat="1" applyFont="1" applyBorder="1"/>
    <xf numFmtId="43" fontId="0" fillId="0" borderId="11" xfId="1" applyFont="1" applyBorder="1"/>
    <xf numFmtId="164" fontId="0" fillId="0" borderId="15" xfId="1" applyNumberFormat="1" applyFont="1" applyBorder="1"/>
    <xf numFmtId="164" fontId="2" fillId="3" borderId="30" xfId="1" applyNumberFormat="1" applyFont="1" applyFill="1" applyBorder="1"/>
    <xf numFmtId="0" fontId="2" fillId="6" borderId="22" xfId="0" applyFont="1" applyFill="1" applyBorder="1" applyAlignment="1">
      <alignment horizontal="center" vertical="center" wrapText="1"/>
    </xf>
    <xf numFmtId="44" fontId="0" fillId="6" borderId="25" xfId="0" applyNumberFormat="1" applyFill="1" applyBorder="1"/>
    <xf numFmtId="43" fontId="0" fillId="6" borderId="0" xfId="1" applyFont="1" applyFill="1" applyBorder="1"/>
    <xf numFmtId="0" fontId="0" fillId="6" borderId="11" xfId="0" applyFill="1" applyBorder="1"/>
    <xf numFmtId="164" fontId="13" fillId="0" borderId="1" xfId="1" applyNumberFormat="1" applyFont="1" applyBorder="1"/>
    <xf numFmtId="164" fontId="14" fillId="0" borderId="0" xfId="1" applyNumberFormat="1" applyFont="1" applyFill="1" applyBorder="1"/>
    <xf numFmtId="0" fontId="16" fillId="0" borderId="0" xfId="0" applyFont="1"/>
    <xf numFmtId="164" fontId="16" fillId="0" borderId="0" xfId="1" applyNumberFormat="1" applyFont="1"/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11" xfId="0" applyFont="1" applyBorder="1" applyAlignment="1">
      <alignment horizontal="left"/>
    </xf>
    <xf numFmtId="165" fontId="17" fillId="0" borderId="11" xfId="0" applyNumberFormat="1" applyFont="1" applyBorder="1" applyAlignment="1">
      <alignment horizontal="left"/>
    </xf>
    <xf numFmtId="0" fontId="17" fillId="0" borderId="13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43" fontId="16" fillId="0" borderId="0" xfId="1" applyFont="1" applyFill="1" applyAlignment="1">
      <alignment horizontal="left"/>
    </xf>
    <xf numFmtId="164" fontId="16" fillId="0" borderId="20" xfId="1" applyNumberFormat="1" applyFont="1" applyBorder="1" applyAlignment="1">
      <alignment horizontal="right"/>
    </xf>
    <xf numFmtId="164" fontId="14" fillId="0" borderId="7" xfId="1" applyNumberFormat="1" applyFont="1" applyFill="1" applyBorder="1"/>
    <xf numFmtId="164" fontId="16" fillId="0" borderId="0" xfId="0" applyNumberFormat="1" applyFont="1"/>
    <xf numFmtId="43" fontId="14" fillId="0" borderId="4" xfId="1" applyFont="1" applyFill="1" applyBorder="1"/>
    <xf numFmtId="164" fontId="14" fillId="0" borderId="10" xfId="1" applyNumberFormat="1" applyFont="1" applyFill="1" applyBorder="1"/>
    <xf numFmtId="164" fontId="14" fillId="0" borderId="4" xfId="1" applyNumberFormat="1" applyFont="1" applyFill="1" applyBorder="1"/>
    <xf numFmtId="164" fontId="18" fillId="0" borderId="10" xfId="0" applyNumberFormat="1" applyFont="1" applyBorder="1"/>
    <xf numFmtId="164" fontId="16" fillId="0" borderId="0" xfId="1" applyNumberFormat="1" applyFont="1" applyFill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left"/>
    </xf>
    <xf numFmtId="164" fontId="15" fillId="0" borderId="5" xfId="1" applyNumberFormat="1" applyFont="1" applyFill="1" applyBorder="1"/>
    <xf numFmtId="164" fontId="15" fillId="0" borderId="3" xfId="1" applyNumberFormat="1" applyFont="1" applyFill="1" applyBorder="1"/>
    <xf numFmtId="164" fontId="15" fillId="0" borderId="1" xfId="1" applyNumberFormat="1" applyFont="1" applyFill="1" applyBorder="1"/>
    <xf numFmtId="164" fontId="15" fillId="0" borderId="6" xfId="1" applyNumberFormat="1" applyFont="1" applyFill="1" applyBorder="1"/>
    <xf numFmtId="164" fontId="18" fillId="0" borderId="1" xfId="0" applyNumberFormat="1" applyFont="1" applyBorder="1"/>
    <xf numFmtId="164" fontId="18" fillId="0" borderId="1" xfId="1" applyNumberFormat="1" applyFont="1" applyFill="1" applyBorder="1"/>
    <xf numFmtId="0" fontId="18" fillId="0" borderId="0" xfId="0" applyFont="1"/>
    <xf numFmtId="9" fontId="14" fillId="0" borderId="4" xfId="1" applyNumberFormat="1" applyFont="1" applyFill="1" applyBorder="1"/>
    <xf numFmtId="9" fontId="14" fillId="0" borderId="0" xfId="1" applyNumberFormat="1" applyFont="1" applyFill="1" applyBorder="1"/>
    <xf numFmtId="0" fontId="16" fillId="0" borderId="10" xfId="0" applyFont="1" applyBorder="1"/>
    <xf numFmtId="0" fontId="16" fillId="0" borderId="7" xfId="0" applyFont="1" applyBorder="1"/>
    <xf numFmtId="0" fontId="16" fillId="0" borderId="4" xfId="0" applyFont="1" applyBorder="1"/>
    <xf numFmtId="164" fontId="16" fillId="0" borderId="7" xfId="0" applyNumberFormat="1" applyFont="1" applyBorder="1"/>
    <xf numFmtId="164" fontId="16" fillId="0" borderId="10" xfId="0" applyNumberFormat="1" applyFont="1" applyBorder="1"/>
    <xf numFmtId="164" fontId="15" fillId="0" borderId="0" xfId="1" applyNumberFormat="1" applyFont="1" applyFill="1" applyBorder="1"/>
    <xf numFmtId="164" fontId="18" fillId="0" borderId="6" xfId="0" applyNumberFormat="1" applyFont="1" applyBorder="1"/>
    <xf numFmtId="164" fontId="15" fillId="0" borderId="18" xfId="1" applyNumberFormat="1" applyFont="1" applyFill="1" applyBorder="1"/>
    <xf numFmtId="164" fontId="15" fillId="0" borderId="21" xfId="1" applyNumberFormat="1" applyFont="1" applyFill="1" applyBorder="1"/>
    <xf numFmtId="164" fontId="15" fillId="0" borderId="14" xfId="1" applyNumberFormat="1" applyFont="1" applyFill="1" applyBorder="1"/>
    <xf numFmtId="164" fontId="18" fillId="0" borderId="18" xfId="0" applyNumberFormat="1" applyFont="1" applyBorder="1"/>
    <xf numFmtId="164" fontId="15" fillId="0" borderId="8" xfId="1" applyNumberFormat="1" applyFont="1" applyFill="1" applyBorder="1"/>
    <xf numFmtId="164" fontId="15" fillId="0" borderId="2" xfId="1" applyNumberFormat="1" applyFont="1" applyFill="1" applyBorder="1"/>
    <xf numFmtId="164" fontId="15" fillId="5" borderId="1" xfId="1" applyNumberFormat="1" applyFont="1" applyFill="1" applyBorder="1"/>
    <xf numFmtId="164" fontId="15" fillId="4" borderId="1" xfId="1" applyNumberFormat="1" applyFont="1" applyFill="1" applyBorder="1"/>
    <xf numFmtId="164" fontId="15" fillId="0" borderId="10" xfId="1" applyNumberFormat="1" applyFont="1" applyFill="1" applyBorder="1"/>
    <xf numFmtId="164" fontId="16" fillId="0" borderId="10" xfId="1" applyNumberFormat="1" applyFont="1" applyBorder="1"/>
    <xf numFmtId="43" fontId="16" fillId="0" borderId="0" xfId="1" applyFont="1"/>
    <xf numFmtId="43" fontId="16" fillId="0" borderId="0" xfId="0" applyNumberFormat="1" applyFont="1"/>
    <xf numFmtId="0" fontId="16" fillId="2" borderId="19" xfId="0" applyFont="1" applyFill="1" applyBorder="1"/>
    <xf numFmtId="0" fontId="16" fillId="2" borderId="18" xfId="0" applyFont="1" applyFill="1" applyBorder="1"/>
    <xf numFmtId="164" fontId="14" fillId="0" borderId="0" xfId="1" applyNumberFormat="1" applyFont="1" applyFill="1"/>
    <xf numFmtId="0" fontId="16" fillId="2" borderId="7" xfId="0" applyFont="1" applyFill="1" applyBorder="1"/>
    <xf numFmtId="0" fontId="16" fillId="2" borderId="10" xfId="0" applyFont="1" applyFill="1" applyBorder="1"/>
    <xf numFmtId="164" fontId="14" fillId="2" borderId="7" xfId="1" applyNumberFormat="1" applyFont="1" applyFill="1" applyBorder="1"/>
    <xf numFmtId="164" fontId="14" fillId="0" borderId="0" xfId="3" applyNumberFormat="1" applyFont="1" applyFill="1"/>
    <xf numFmtId="164" fontId="14" fillId="0" borderId="3" xfId="1" applyNumberFormat="1" applyFont="1" applyFill="1" applyBorder="1"/>
    <xf numFmtId="164" fontId="14" fillId="0" borderId="1" xfId="1" applyNumberFormat="1" applyFont="1" applyFill="1" applyBorder="1"/>
    <xf numFmtId="164" fontId="14" fillId="0" borderId="14" xfId="1" applyNumberFormat="1" applyFont="1" applyFill="1" applyBorder="1"/>
    <xf numFmtId="164" fontId="14" fillId="0" borderId="6" xfId="1" applyNumberFormat="1" applyFont="1" applyFill="1" applyBorder="1"/>
    <xf numFmtId="164" fontId="16" fillId="0" borderId="1" xfId="1" applyNumberFormat="1" applyFont="1" applyFill="1" applyBorder="1"/>
    <xf numFmtId="0" fontId="18" fillId="2" borderId="4" xfId="0" applyFont="1" applyFill="1" applyBorder="1"/>
    <xf numFmtId="0" fontId="18" fillId="2" borderId="7" xfId="0" applyFont="1" applyFill="1" applyBorder="1"/>
    <xf numFmtId="0" fontId="18" fillId="2" borderId="10" xfId="0" applyFont="1" applyFill="1" applyBorder="1"/>
    <xf numFmtId="164" fontId="15" fillId="0" borderId="17" xfId="1" applyNumberFormat="1" applyFont="1" applyFill="1" applyBorder="1"/>
    <xf numFmtId="164" fontId="18" fillId="0" borderId="0" xfId="0" applyNumberFormat="1" applyFont="1"/>
    <xf numFmtId="0" fontId="18" fillId="2" borderId="8" xfId="0" applyFont="1" applyFill="1" applyBorder="1"/>
    <xf numFmtId="0" fontId="18" fillId="2" borderId="9" xfId="0" applyFont="1" applyFill="1" applyBorder="1"/>
    <xf numFmtId="0" fontId="18" fillId="2" borderId="17" xfId="0" applyFont="1" applyFill="1" applyBorder="1"/>
    <xf numFmtId="164" fontId="18" fillId="0" borderId="8" xfId="0" applyNumberFormat="1" applyFont="1" applyBorder="1"/>
    <xf numFmtId="164" fontId="18" fillId="0" borderId="2" xfId="0" applyNumberFormat="1" applyFont="1" applyBorder="1"/>
    <xf numFmtId="164" fontId="18" fillId="0" borderId="17" xfId="0" applyNumberFormat="1" applyFont="1" applyBorder="1"/>
    <xf numFmtId="164" fontId="16" fillId="0" borderId="1" xfId="0" applyNumberFormat="1" applyFont="1" applyBorder="1"/>
    <xf numFmtId="164" fontId="16" fillId="0" borderId="3" xfId="0" applyNumberFormat="1" applyFont="1" applyBorder="1"/>
    <xf numFmtId="165" fontId="15" fillId="0" borderId="0" xfId="0" applyNumberFormat="1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165" fontId="19" fillId="0" borderId="0" xfId="0" applyNumberFormat="1" applyFont="1" applyAlignment="1">
      <alignment horizontal="left"/>
    </xf>
    <xf numFmtId="44" fontId="16" fillId="0" borderId="0" xfId="2" applyFont="1" applyFill="1"/>
    <xf numFmtId="164" fontId="16" fillId="0" borderId="0" xfId="1" applyNumberFormat="1" applyFont="1" applyFill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4" fontId="15" fillId="0" borderId="11" xfId="1" applyNumberFormat="1" applyFont="1" applyFill="1" applyBorder="1" applyAlignment="1">
      <alignment horizontal="center" wrapText="1"/>
    </xf>
    <xf numFmtId="164" fontId="14" fillId="0" borderId="0" xfId="3" applyNumberFormat="1" applyFont="1" applyBorder="1"/>
    <xf numFmtId="164" fontId="14" fillId="0" borderId="0" xfId="3" applyNumberFormat="1" applyFont="1"/>
    <xf numFmtId="164" fontId="14" fillId="0" borderId="0" xfId="3" applyNumberFormat="1" applyFont="1" applyFill="1" applyBorder="1"/>
    <xf numFmtId="0" fontId="16" fillId="0" borderId="0" xfId="0" applyFont="1" applyAlignment="1">
      <alignment horizontal="right"/>
    </xf>
    <xf numFmtId="164" fontId="14" fillId="0" borderId="1" xfId="3" applyNumberFormat="1" applyFont="1" applyFill="1" applyBorder="1"/>
    <xf numFmtId="164" fontId="14" fillId="0" borderId="1" xfId="3" applyNumberFormat="1" applyFont="1" applyBorder="1"/>
    <xf numFmtId="164" fontId="14" fillId="0" borderId="0" xfId="1" applyNumberFormat="1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64" fontId="5" fillId="0" borderId="0" xfId="3" applyNumberFormat="1" applyFont="1"/>
    <xf numFmtId="164" fontId="5" fillId="0" borderId="0" xfId="3" applyNumberFormat="1" applyFont="1" applyBorder="1"/>
    <xf numFmtId="164" fontId="5" fillId="0" borderId="0" xfId="3" applyNumberFormat="1" applyFont="1" applyFill="1"/>
    <xf numFmtId="164" fontId="5" fillId="0" borderId="0" xfId="3" applyNumberFormat="1" applyFont="1" applyFill="1" applyBorder="1"/>
    <xf numFmtId="164" fontId="5" fillId="0" borderId="1" xfId="3" applyNumberFormat="1" applyFont="1" applyBorder="1"/>
    <xf numFmtId="164" fontId="5" fillId="0" borderId="1" xfId="3" applyNumberFormat="1" applyFont="1" applyFill="1" applyBorder="1"/>
    <xf numFmtId="7" fontId="20" fillId="0" borderId="0" xfId="11" applyNumberFormat="1" applyFont="1" applyAlignment="1">
      <alignment horizontal="right" vertical="center"/>
    </xf>
    <xf numFmtId="164" fontId="16" fillId="0" borderId="0" xfId="3" applyNumberFormat="1" applyFont="1" applyFill="1"/>
    <xf numFmtId="7" fontId="20" fillId="0" borderId="0" xfId="12" applyNumberFormat="1" applyFont="1" applyAlignment="1">
      <alignment horizontal="right" vertical="center"/>
    </xf>
    <xf numFmtId="43" fontId="16" fillId="0" borderId="0" xfId="6" applyFont="1"/>
    <xf numFmtId="164" fontId="16" fillId="0" borderId="0" xfId="3" applyNumberFormat="1" applyFont="1"/>
    <xf numFmtId="43" fontId="16" fillId="0" borderId="0" xfId="6" applyFont="1" applyBorder="1"/>
    <xf numFmtId="164" fontId="5" fillId="0" borderId="0" xfId="0" applyNumberFormat="1" applyFont="1"/>
    <xf numFmtId="14" fontId="5" fillId="0" borderId="0" xfId="0" applyNumberFormat="1" applyFont="1" applyAlignment="1">
      <alignment horizontal="center"/>
    </xf>
    <xf numFmtId="164" fontId="5" fillId="3" borderId="0" xfId="3" applyNumberFormat="1" applyFont="1" applyFill="1" applyBorder="1"/>
    <xf numFmtId="164" fontId="5" fillId="3" borderId="0" xfId="3" applyNumberFormat="1" applyFont="1" applyFill="1"/>
    <xf numFmtId="0" fontId="6" fillId="0" borderId="0" xfId="0" applyFont="1" applyAlignment="1">
      <alignment horizontal="left"/>
    </xf>
    <xf numFmtId="167" fontId="5" fillId="0" borderId="0" xfId="0" applyNumberFormat="1" applyFont="1" applyAlignment="1">
      <alignment horizontal="center"/>
    </xf>
    <xf numFmtId="0" fontId="21" fillId="0" borderId="0" xfId="0" applyFont="1"/>
    <xf numFmtId="0" fontId="14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3" applyFont="1"/>
    <xf numFmtId="43" fontId="5" fillId="0" borderId="0" xfId="3" applyFont="1" applyBorder="1"/>
    <xf numFmtId="43" fontId="5" fillId="0" borderId="0" xfId="3" applyFont="1" applyFill="1"/>
    <xf numFmtId="43" fontId="5" fillId="0" borderId="0" xfId="3" applyFont="1" applyFill="1" applyBorder="1"/>
    <xf numFmtId="164" fontId="5" fillId="0" borderId="14" xfId="3" applyNumberFormat="1" applyFont="1" applyBorder="1"/>
    <xf numFmtId="164" fontId="5" fillId="0" borderId="14" xfId="3" applyNumberFormat="1" applyFont="1" applyFill="1" applyBorder="1"/>
    <xf numFmtId="0" fontId="15" fillId="0" borderId="1" xfId="0" applyFont="1" applyBorder="1" applyAlignment="1">
      <alignment horizontal="center"/>
    </xf>
    <xf numFmtId="9" fontId="15" fillId="0" borderId="1" xfId="0" applyNumberFormat="1" applyFont="1" applyBorder="1" applyAlignment="1">
      <alignment horizontal="center"/>
    </xf>
    <xf numFmtId="9" fontId="16" fillId="0" borderId="0" xfId="0" applyNumberFormat="1" applyFont="1"/>
    <xf numFmtId="1" fontId="16" fillId="0" borderId="0" xfId="1" applyNumberFormat="1" applyFont="1" applyAlignment="1">
      <alignment horizontal="center"/>
    </xf>
    <xf numFmtId="1" fontId="16" fillId="0" borderId="0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" fontId="18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49" fontId="18" fillId="0" borderId="1" xfId="1" applyNumberFormat="1" applyFont="1" applyBorder="1" applyAlignment="1">
      <alignment horizontal="center"/>
    </xf>
    <xf numFmtId="43" fontId="18" fillId="0" borderId="1" xfId="1" applyFont="1" applyBorder="1"/>
    <xf numFmtId="43" fontId="16" fillId="0" borderId="0" xfId="1" applyFont="1" applyBorder="1"/>
    <xf numFmtId="164" fontId="18" fillId="7" borderId="8" xfId="0" applyNumberFormat="1" applyFont="1" applyFill="1" applyBorder="1"/>
    <xf numFmtId="0" fontId="24" fillId="0" borderId="1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/>
    <xf numFmtId="164" fontId="25" fillId="0" borderId="0" xfId="3" applyNumberFormat="1" applyFont="1"/>
    <xf numFmtId="164" fontId="25" fillId="0" borderId="0" xfId="3" applyNumberFormat="1" applyFont="1" applyBorder="1"/>
    <xf numFmtId="164" fontId="25" fillId="0" borderId="0" xfId="3" applyNumberFormat="1" applyFont="1" applyFill="1"/>
    <xf numFmtId="164" fontId="25" fillId="3" borderId="0" xfId="3" applyNumberFormat="1" applyFont="1" applyFill="1" applyBorder="1"/>
    <xf numFmtId="164" fontId="25" fillId="0" borderId="0" xfId="3" applyNumberFormat="1" applyFont="1" applyFill="1" applyBorder="1"/>
    <xf numFmtId="0" fontId="25" fillId="0" borderId="0" xfId="0" applyFont="1" applyAlignment="1">
      <alignment horizontal="right"/>
    </xf>
    <xf numFmtId="164" fontId="25" fillId="0" borderId="1" xfId="3" applyNumberFormat="1" applyFont="1" applyBorder="1"/>
    <xf numFmtId="164" fontId="25" fillId="0" borderId="1" xfId="3" applyNumberFormat="1" applyFont="1" applyFill="1" applyBorder="1"/>
    <xf numFmtId="164" fontId="25" fillId="3" borderId="0" xfId="3" applyNumberFormat="1" applyFont="1" applyFill="1"/>
    <xf numFmtId="164" fontId="25" fillId="0" borderId="0" xfId="0" applyNumberFormat="1" applyFont="1"/>
    <xf numFmtId="164" fontId="4" fillId="0" borderId="14" xfId="1" applyNumberFormat="1" applyFont="1" applyFill="1" applyBorder="1"/>
    <xf numFmtId="164" fontId="0" fillId="0" borderId="0" xfId="1" applyNumberFormat="1" applyFont="1" applyFill="1"/>
    <xf numFmtId="164" fontId="0" fillId="0" borderId="1" xfId="0" applyNumberFormat="1" applyBorder="1"/>
    <xf numFmtId="0" fontId="23" fillId="0" borderId="0" xfId="0" applyFont="1"/>
    <xf numFmtId="164" fontId="23" fillId="0" borderId="0" xfId="0" applyNumberFormat="1" applyFont="1"/>
    <xf numFmtId="167" fontId="25" fillId="0" borderId="0" xfId="0" applyNumberFormat="1" applyFont="1"/>
    <xf numFmtId="164" fontId="25" fillId="0" borderId="14" xfId="3" applyNumberFormat="1" applyFont="1" applyBorder="1"/>
    <xf numFmtId="0" fontId="5" fillId="0" borderId="0" xfId="0" quotePrefix="1" applyFont="1"/>
    <xf numFmtId="7" fontId="26" fillId="0" borderId="0" xfId="12" applyNumberFormat="1" applyFont="1"/>
    <xf numFmtId="7" fontId="26" fillId="0" borderId="0" xfId="12" applyNumberFormat="1" applyFont="1" applyAlignment="1">
      <alignment horizontal="right" vertical="center"/>
    </xf>
    <xf numFmtId="43" fontId="27" fillId="0" borderId="0" xfId="1" applyFont="1" applyFill="1" applyAlignment="1">
      <alignment horizontal="center"/>
    </xf>
    <xf numFmtId="0" fontId="22" fillId="0" borderId="0" xfId="0" applyFont="1"/>
    <xf numFmtId="164" fontId="18" fillId="7" borderId="2" xfId="0" applyNumberFormat="1" applyFont="1" applyFill="1" applyBorder="1"/>
    <xf numFmtId="0" fontId="18" fillId="5" borderId="0" xfId="0" applyFont="1" applyFill="1" applyAlignment="1">
      <alignment horizontal="center" wrapText="1"/>
    </xf>
    <xf numFmtId="43" fontId="0" fillId="0" borderId="24" xfId="1" applyFont="1" applyBorder="1" applyAlignment="1">
      <alignment horizontal="left"/>
    </xf>
    <xf numFmtId="43" fontId="0" fillId="0" borderId="25" xfId="1" applyFont="1" applyBorder="1" applyAlignment="1">
      <alignment horizontal="left"/>
    </xf>
    <xf numFmtId="43" fontId="0" fillId="0" borderId="25" xfId="1" applyFont="1" applyBorder="1"/>
    <xf numFmtId="164" fontId="0" fillId="0" borderId="26" xfId="1" applyNumberFormat="1" applyFont="1" applyBorder="1"/>
    <xf numFmtId="43" fontId="0" fillId="0" borderId="0" xfId="1" applyFont="1" applyBorder="1" applyAlignment="1">
      <alignment horizontal="left"/>
    </xf>
    <xf numFmtId="43" fontId="0" fillId="0" borderId="0" xfId="1" applyFont="1" applyBorder="1"/>
    <xf numFmtId="164" fontId="0" fillId="0" borderId="28" xfId="1" applyNumberFormat="1" applyFont="1" applyBorder="1"/>
    <xf numFmtId="43" fontId="0" fillId="0" borderId="27" xfId="1" applyFont="1" applyBorder="1" applyAlignment="1">
      <alignment horizontal="left"/>
    </xf>
    <xf numFmtId="43" fontId="0" fillId="0" borderId="29" xfId="1" applyFont="1" applyBorder="1" applyAlignment="1">
      <alignment horizontal="left"/>
    </xf>
    <xf numFmtId="43" fontId="0" fillId="0" borderId="11" xfId="1" applyFont="1" applyBorder="1" applyAlignment="1">
      <alignment horizontal="left"/>
    </xf>
    <xf numFmtId="164" fontId="0" fillId="0" borderId="31" xfId="1" applyNumberFormat="1" applyFont="1" applyBorder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9" fillId="0" borderId="0" xfId="0" applyFont="1"/>
    <xf numFmtId="164" fontId="29" fillId="0" borderId="0" xfId="3" applyNumberFormat="1" applyFont="1"/>
    <xf numFmtId="164" fontId="29" fillId="0" borderId="0" xfId="3" applyNumberFormat="1" applyFont="1" applyBorder="1"/>
    <xf numFmtId="164" fontId="29" fillId="0" borderId="0" xfId="3" applyNumberFormat="1" applyFont="1" applyFill="1"/>
    <xf numFmtId="164" fontId="22" fillId="0" borderId="0" xfId="3" applyNumberFormat="1" applyFont="1"/>
    <xf numFmtId="164" fontId="29" fillId="0" borderId="0" xfId="3" applyNumberFormat="1" applyFont="1" applyFill="1" applyBorder="1"/>
    <xf numFmtId="43" fontId="22" fillId="0" borderId="0" xfId="6" applyFont="1" applyBorder="1"/>
    <xf numFmtId="164" fontId="30" fillId="0" borderId="0" xfId="1" applyNumberFormat="1" applyFont="1"/>
    <xf numFmtId="164" fontId="18" fillId="4" borderId="0" xfId="1" applyNumberFormat="1" applyFont="1" applyFill="1" applyAlignment="1">
      <alignment horizontal="center" wrapText="1"/>
    </xf>
    <xf numFmtId="164" fontId="31" fillId="0" borderId="1" xfId="0" applyNumberFormat="1" applyFont="1" applyBorder="1"/>
    <xf numFmtId="164" fontId="32" fillId="0" borderId="6" xfId="1" applyNumberFormat="1" applyFont="1" applyFill="1" applyBorder="1"/>
    <xf numFmtId="164" fontId="31" fillId="0" borderId="1" xfId="1" applyNumberFormat="1" applyFont="1" applyBorder="1"/>
    <xf numFmtId="164" fontId="31" fillId="0" borderId="0" xfId="0" applyNumberFormat="1" applyFont="1"/>
    <xf numFmtId="164" fontId="32" fillId="0" borderId="0" xfId="1" applyNumberFormat="1" applyFont="1"/>
    <xf numFmtId="164" fontId="30" fillId="0" borderId="0" xfId="1" applyNumberFormat="1" applyFont="1" applyFill="1"/>
    <xf numFmtId="164" fontId="33" fillId="0" borderId="0" xfId="3" applyNumberFormat="1" applyFont="1" applyBorder="1"/>
    <xf numFmtId="164" fontId="33" fillId="0" borderId="0" xfId="3" applyNumberFormat="1" applyFont="1" applyFill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3">
    <cellStyle name="Comma" xfId="1" builtinId="3"/>
    <cellStyle name="Comma 2" xfId="3" xr:uid="{00000000-0005-0000-0000-000001000000}"/>
    <cellStyle name="Comma 2 6" xfId="4" xr:uid="{00000000-0005-0000-0000-000002000000}"/>
    <cellStyle name="Comma 3" xfId="6" xr:uid="{00000000-0005-0000-0000-000003000000}"/>
    <cellStyle name="Currency" xfId="2" builtinId="4"/>
    <cellStyle name="Currency 2" xfId="7" xr:uid="{00000000-0005-0000-0000-000005000000}"/>
    <cellStyle name="Normal" xfId="0" builtinId="0"/>
    <cellStyle name="Normal 2" xfId="9" xr:uid="{00000000-0005-0000-0000-000007000000}"/>
    <cellStyle name="Normal 3" xfId="10" xr:uid="{00000000-0005-0000-0000-000008000000}"/>
    <cellStyle name="Normal 4" xfId="5" xr:uid="{00000000-0005-0000-0000-000009000000}"/>
    <cellStyle name="Normal_Sheet1 (2)" xfId="12" xr:uid="{B412ACBF-DA87-4BE0-AFA0-9E0ADFEA4ACC}"/>
    <cellStyle name="Normal_Sheet4" xfId="11" xr:uid="{4D16617F-BEE6-41AD-A164-08BD47C4861A}"/>
    <cellStyle name="Percent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A87"/>
  <sheetViews>
    <sheetView tabSelected="1" zoomScale="110" zoomScaleNormal="110" workbookViewId="0">
      <pane xSplit="11" ySplit="5" topLeftCell="L6" activePane="bottomRight" state="frozen"/>
      <selection pane="bottomRight" activeCell="L20" sqref="L20"/>
      <selection pane="bottomLeft" activeCell="A6" sqref="A6"/>
      <selection pane="topRight" activeCell="L1" sqref="L1"/>
    </sheetView>
  </sheetViews>
  <sheetFormatPr defaultRowHeight="15"/>
  <cols>
    <col min="1" max="1" width="42.140625" style="78" customWidth="1"/>
    <col min="2" max="2" width="7.7109375" style="79" bestFit="1" customWidth="1"/>
    <col min="3" max="3" width="9.140625" style="76" customWidth="1"/>
    <col min="4" max="5" width="7" style="76" bestFit="1" customWidth="1"/>
    <col min="6" max="6" width="11.7109375" style="76" bestFit="1" customWidth="1"/>
    <col min="7" max="7" width="5.140625" style="76" bestFit="1" customWidth="1"/>
    <col min="8" max="8" width="10.5703125" style="76" bestFit="1" customWidth="1"/>
    <col min="9" max="9" width="5.140625" style="76" bestFit="1" customWidth="1"/>
    <col min="10" max="10" width="14.42578125" style="76" bestFit="1" customWidth="1"/>
    <col min="11" max="11" width="5.140625" style="76" bestFit="1" customWidth="1"/>
    <col min="12" max="12" width="10" style="76" bestFit="1" customWidth="1"/>
    <col min="13" max="13" width="10.7109375" style="76" bestFit="1" customWidth="1"/>
    <col min="14" max="14" width="14.5703125" style="76" customWidth="1"/>
    <col min="15" max="15" width="10.5703125" style="76" bestFit="1" customWidth="1"/>
    <col min="16" max="16" width="10.85546875" style="76" bestFit="1" customWidth="1"/>
    <col min="17" max="17" width="9" style="76" bestFit="1" customWidth="1"/>
    <col min="18" max="18" width="8" style="76" bestFit="1" customWidth="1"/>
    <col min="19" max="19" width="11.140625" style="76" bestFit="1" customWidth="1"/>
    <col min="20" max="20" width="9" style="76" customWidth="1"/>
    <col min="21" max="21" width="10.5703125" style="76" bestFit="1" customWidth="1"/>
    <col min="22" max="22" width="5.140625" style="76" bestFit="1" customWidth="1"/>
    <col min="23" max="23" width="9.85546875" style="76" bestFit="1" customWidth="1"/>
    <col min="24" max="24" width="11.85546875" style="76" bestFit="1" customWidth="1"/>
    <col min="25" max="25" width="12.5703125" style="267" customWidth="1"/>
    <col min="26" max="26" width="13" style="76" customWidth="1"/>
    <col min="27" max="27" width="11.5703125" style="76" customWidth="1"/>
    <col min="28" max="16384" width="9.140625" style="76"/>
  </cols>
  <sheetData>
    <row r="1" spans="1:26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</row>
    <row r="2" spans="1:26">
      <c r="A2" s="277" t="s">
        <v>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</row>
    <row r="3" spans="1:26">
      <c r="A3" s="277" t="s">
        <v>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1:26" ht="9" customHeight="1"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6" ht="65.25" thickBot="1">
      <c r="A5" s="81" t="s">
        <v>3</v>
      </c>
      <c r="B5" s="82"/>
      <c r="C5" s="83" t="s">
        <v>4</v>
      </c>
      <c r="D5" s="84" t="s">
        <v>5</v>
      </c>
      <c r="E5" s="84" t="s">
        <v>6</v>
      </c>
      <c r="F5" s="85" t="s">
        <v>7</v>
      </c>
      <c r="G5" s="86"/>
      <c r="H5" s="85" t="s">
        <v>8</v>
      </c>
      <c r="I5" s="86"/>
      <c r="J5" s="87" t="s">
        <v>9</v>
      </c>
      <c r="K5" s="88"/>
      <c r="L5" s="83" t="s">
        <v>10</v>
      </c>
      <c r="M5" s="85" t="s">
        <v>11</v>
      </c>
      <c r="N5" s="85" t="s">
        <v>12</v>
      </c>
      <c r="O5" s="85" t="s">
        <v>13</v>
      </c>
      <c r="P5" s="85" t="s">
        <v>14</v>
      </c>
      <c r="Q5" s="85" t="s">
        <v>15</v>
      </c>
      <c r="R5" s="85" t="s">
        <v>16</v>
      </c>
      <c r="S5" s="85" t="s">
        <v>17</v>
      </c>
      <c r="T5" s="85" t="s">
        <v>18</v>
      </c>
      <c r="U5" s="87" t="s">
        <v>19</v>
      </c>
      <c r="W5" s="89" t="s">
        <v>20</v>
      </c>
      <c r="X5" s="90" t="s">
        <v>21</v>
      </c>
      <c r="Y5" s="268" t="s">
        <v>22</v>
      </c>
      <c r="Z5" s="246" t="s">
        <v>23</v>
      </c>
    </row>
    <row r="6" spans="1:26">
      <c r="A6" s="78" t="s">
        <v>24</v>
      </c>
      <c r="B6" s="91">
        <v>15</v>
      </c>
      <c r="C6" s="92">
        <f>Enrollment!J9</f>
        <v>1343</v>
      </c>
      <c r="D6" s="93">
        <v>0</v>
      </c>
      <c r="E6" s="94">
        <f>+C6+D6</f>
        <v>1343</v>
      </c>
      <c r="F6" s="95">
        <f>+B6*E6</f>
        <v>20145</v>
      </c>
      <c r="G6" s="75"/>
      <c r="H6" s="75">
        <v>0</v>
      </c>
      <c r="I6" s="75"/>
      <c r="J6" s="96">
        <f>+F6+H6</f>
        <v>20145</v>
      </c>
      <c r="K6" s="75"/>
      <c r="L6" s="97">
        <f>+J6</f>
        <v>20145</v>
      </c>
      <c r="M6" s="75"/>
      <c r="N6" s="75"/>
      <c r="O6" s="75"/>
      <c r="P6" s="75"/>
      <c r="Q6" s="75"/>
      <c r="R6" s="75"/>
      <c r="S6" s="75"/>
      <c r="T6" s="75"/>
      <c r="U6" s="98">
        <f>SUM(L6:T6)</f>
        <v>20145</v>
      </c>
      <c r="W6" s="99">
        <v>18800</v>
      </c>
      <c r="X6" s="77">
        <v>20145</v>
      </c>
      <c r="Y6" s="267">
        <f>B6*Enrollment!K9</f>
        <v>0</v>
      </c>
      <c r="Z6" s="94">
        <f>X6-Y6</f>
        <v>20145</v>
      </c>
    </row>
    <row r="7" spans="1:26" s="108" customFormat="1">
      <c r="A7" s="100" t="s">
        <v>19</v>
      </c>
      <c r="B7" s="101"/>
      <c r="C7" s="102">
        <f>SUM(C6)</f>
        <v>1343</v>
      </c>
      <c r="D7" s="102">
        <f t="shared" ref="D7:U7" si="0">SUM(D6)</f>
        <v>0</v>
      </c>
      <c r="E7" s="103">
        <f t="shared" si="0"/>
        <v>1343</v>
      </c>
      <c r="F7" s="103">
        <f>SUM(F6)</f>
        <v>20145</v>
      </c>
      <c r="G7" s="104">
        <f t="shared" si="0"/>
        <v>0</v>
      </c>
      <c r="H7" s="104">
        <f t="shared" si="0"/>
        <v>0</v>
      </c>
      <c r="I7" s="104">
        <f t="shared" si="0"/>
        <v>0</v>
      </c>
      <c r="J7" s="105">
        <f t="shared" si="0"/>
        <v>20145</v>
      </c>
      <c r="K7" s="104">
        <f t="shared" si="0"/>
        <v>0</v>
      </c>
      <c r="L7" s="103">
        <f t="shared" si="0"/>
        <v>20145</v>
      </c>
      <c r="M7" s="104">
        <f t="shared" si="0"/>
        <v>0</v>
      </c>
      <c r="N7" s="104">
        <f t="shared" si="0"/>
        <v>0</v>
      </c>
      <c r="O7" s="104">
        <f t="shared" si="0"/>
        <v>0</v>
      </c>
      <c r="P7" s="104">
        <f t="shared" si="0"/>
        <v>0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0</v>
      </c>
      <c r="U7" s="105">
        <f t="shared" si="0"/>
        <v>20145</v>
      </c>
      <c r="V7" s="106">
        <f>J7-U7</f>
        <v>0</v>
      </c>
      <c r="W7" s="107">
        <f>SUM(W5:W6)</f>
        <v>18800</v>
      </c>
      <c r="X7" s="106">
        <f>SUM(X6)</f>
        <v>20145</v>
      </c>
      <c r="Y7" s="269">
        <f>SUM(Y6)</f>
        <v>0</v>
      </c>
      <c r="Z7" s="106">
        <f>SUM(Z6)</f>
        <v>20145</v>
      </c>
    </row>
    <row r="8" spans="1:26" hidden="1">
      <c r="C8" s="93"/>
      <c r="F8" s="97"/>
      <c r="G8" s="75"/>
      <c r="H8" s="75"/>
      <c r="I8" s="75"/>
      <c r="J8" s="96"/>
      <c r="K8" s="75"/>
      <c r="L8" s="109">
        <f>+L17/U17</f>
        <v>0.29947708484896135</v>
      </c>
      <c r="M8" s="110">
        <f>+M17/U17</f>
        <v>0.30325581000035795</v>
      </c>
      <c r="N8" s="110">
        <f>+N17/U17</f>
        <v>7.3665445120224077E-2</v>
      </c>
      <c r="O8" s="110">
        <f>+O17/U17</f>
        <v>5.3845893588654582E-2</v>
      </c>
      <c r="P8" s="110">
        <f>+P17/U17</f>
        <v>4.4199267072134438E-2</v>
      </c>
      <c r="Q8" s="110">
        <f>+Q17/U17</f>
        <v>5.8932356096179257E-2</v>
      </c>
      <c r="R8" s="110">
        <f>+R17/U17</f>
        <v>2.9466178048089629E-2</v>
      </c>
      <c r="S8" s="110">
        <f>+S17/U17</f>
        <v>8.8398534144268875E-2</v>
      </c>
      <c r="T8" s="110">
        <f>+T17/U17</f>
        <v>4.8759431081129893E-2</v>
      </c>
      <c r="U8" s="111"/>
      <c r="W8" s="99"/>
    </row>
    <row r="9" spans="1:26">
      <c r="A9" s="78" t="s">
        <v>25</v>
      </c>
      <c r="C9" s="93"/>
      <c r="E9" s="112"/>
      <c r="F9" s="97"/>
      <c r="G9" s="75"/>
      <c r="H9" s="75"/>
      <c r="I9" s="75"/>
      <c r="J9" s="96"/>
      <c r="K9" s="75"/>
      <c r="L9" s="113"/>
      <c r="U9" s="111"/>
      <c r="W9" s="99"/>
    </row>
    <row r="10" spans="1:26">
      <c r="A10" s="78" t="s">
        <v>26</v>
      </c>
      <c r="B10" s="91">
        <v>72.150000000000006</v>
      </c>
      <c r="C10" s="93">
        <f>Enrollment!J13</f>
        <v>2521.9499999999998</v>
      </c>
      <c r="D10" s="97">
        <v>0</v>
      </c>
      <c r="E10" s="114">
        <f t="shared" ref="E10:E11" si="1">+C10+D10</f>
        <v>2521.9499999999998</v>
      </c>
      <c r="F10" s="97">
        <f>+E10*B10</f>
        <v>181958.6925</v>
      </c>
      <c r="G10" s="75"/>
      <c r="H10" s="75">
        <v>0</v>
      </c>
      <c r="I10" s="75"/>
      <c r="J10" s="96">
        <f>+F10+H10</f>
        <v>181958.6925</v>
      </c>
      <c r="K10" s="75"/>
      <c r="L10" s="97">
        <f>E10*21.15</f>
        <v>53339.242499999993</v>
      </c>
      <c r="M10" s="75">
        <f>E10*23</f>
        <v>58004.85</v>
      </c>
      <c r="N10" s="75">
        <f>E10*5</f>
        <v>12609.75</v>
      </c>
      <c r="O10" s="75">
        <f>E10*4</f>
        <v>10087.799999999999</v>
      </c>
      <c r="P10" s="75">
        <f>E10*3</f>
        <v>7565.8499999999995</v>
      </c>
      <c r="Q10" s="75">
        <f>E10*4</f>
        <v>10087.799999999999</v>
      </c>
      <c r="R10" s="75">
        <f>E10*2</f>
        <v>5043.8999999999996</v>
      </c>
      <c r="S10" s="75">
        <f>+E10*6</f>
        <v>15131.699999999999</v>
      </c>
      <c r="T10" s="75">
        <f>E10*4</f>
        <v>10087.799999999999</v>
      </c>
      <c r="U10" s="115">
        <f>SUM(L10:T10)</f>
        <v>181958.69249999998</v>
      </c>
      <c r="V10" s="94">
        <f>J10-U10</f>
        <v>0</v>
      </c>
      <c r="W10" s="99">
        <v>306741</v>
      </c>
      <c r="X10" s="94">
        <f>U10</f>
        <v>181958.69249999998</v>
      </c>
      <c r="Y10" s="267">
        <f>B10*Enrollment!K13</f>
        <v>0</v>
      </c>
      <c r="Z10" s="94">
        <f>X10-Y10</f>
        <v>181958.69249999998</v>
      </c>
    </row>
    <row r="11" spans="1:26">
      <c r="A11" s="78" t="s">
        <v>27</v>
      </c>
      <c r="B11" s="91">
        <v>52.15</v>
      </c>
      <c r="C11" s="93">
        <f>Enrollment!J14</f>
        <v>1546.1499999999999</v>
      </c>
      <c r="D11" s="97">
        <v>0</v>
      </c>
      <c r="E11" s="114">
        <f t="shared" si="1"/>
        <v>1546.1499999999999</v>
      </c>
      <c r="F11" s="97">
        <f>+E11*B11</f>
        <v>80631.722499999989</v>
      </c>
      <c r="G11" s="75"/>
      <c r="H11" s="75">
        <v>0</v>
      </c>
      <c r="I11" s="75"/>
      <c r="J11" s="96">
        <f>+F11+H11</f>
        <v>80631.722499999989</v>
      </c>
      <c r="K11" s="75"/>
      <c r="L11" s="97">
        <f>E11*11.15</f>
        <v>17239.572499999998</v>
      </c>
      <c r="M11" s="75">
        <f>E11*16</f>
        <v>24738.399999999998</v>
      </c>
      <c r="N11" s="75">
        <f>E11*5</f>
        <v>7730.7499999999991</v>
      </c>
      <c r="O11" s="75">
        <f>E11*3</f>
        <v>4638.45</v>
      </c>
      <c r="P11" s="75">
        <f>E11*3</f>
        <v>4638.45</v>
      </c>
      <c r="Q11" s="75">
        <f>E11*4</f>
        <v>6184.5999999999995</v>
      </c>
      <c r="R11" s="75">
        <f>E11*2</f>
        <v>3092.2999999999997</v>
      </c>
      <c r="S11" s="75">
        <f>+E11*6</f>
        <v>9276.9</v>
      </c>
      <c r="T11" s="75">
        <f>E11*2</f>
        <v>3092.2999999999997</v>
      </c>
      <c r="U11" s="115">
        <f>SUM(L11:T11)</f>
        <v>80631.722499999989</v>
      </c>
      <c r="V11" s="94">
        <f>J11-U11</f>
        <v>0</v>
      </c>
      <c r="W11" s="99">
        <v>94866</v>
      </c>
      <c r="X11" s="94">
        <f>U11</f>
        <v>80631.722499999989</v>
      </c>
      <c r="Y11" s="267">
        <f>B11*Enrollment!K14</f>
        <v>0</v>
      </c>
      <c r="Z11" s="94">
        <f>X11-Y11</f>
        <v>80631.722499999989</v>
      </c>
    </row>
    <row r="12" spans="1:26" s="108" customFormat="1">
      <c r="A12" s="100" t="s">
        <v>19</v>
      </c>
      <c r="B12" s="101"/>
      <c r="C12" s="102">
        <f>SUM(C10:C11)</f>
        <v>4068.0999999999995</v>
      </c>
      <c r="D12" s="103">
        <f t="shared" ref="D12:E12" si="2">SUM(D10:D11)</f>
        <v>0</v>
      </c>
      <c r="E12" s="102">
        <f t="shared" si="2"/>
        <v>4068.0999999999995</v>
      </c>
      <c r="F12" s="103">
        <f>SUM(F10:F11)</f>
        <v>262590.41499999998</v>
      </c>
      <c r="G12" s="116"/>
      <c r="H12" s="104">
        <f>SUM(H10:H11)</f>
        <v>0</v>
      </c>
      <c r="I12" s="116"/>
      <c r="J12" s="105">
        <f>SUM(J10:J11)</f>
        <v>262590.41499999998</v>
      </c>
      <c r="K12" s="116"/>
      <c r="L12" s="103">
        <f t="shared" ref="L12:T12" si="3">SUM(L10:L11)</f>
        <v>70578.814999999988</v>
      </c>
      <c r="M12" s="104">
        <f t="shared" si="3"/>
        <v>82743.25</v>
      </c>
      <c r="N12" s="104">
        <f t="shared" si="3"/>
        <v>20340.5</v>
      </c>
      <c r="O12" s="104">
        <f t="shared" si="3"/>
        <v>14726.25</v>
      </c>
      <c r="P12" s="104">
        <f t="shared" si="3"/>
        <v>12204.3</v>
      </c>
      <c r="Q12" s="104">
        <f t="shared" si="3"/>
        <v>16272.399999999998</v>
      </c>
      <c r="R12" s="104">
        <f t="shared" si="3"/>
        <v>8136.1999999999989</v>
      </c>
      <c r="S12" s="104">
        <f t="shared" si="3"/>
        <v>24408.6</v>
      </c>
      <c r="T12" s="104">
        <f t="shared" si="3"/>
        <v>13180.099999999999</v>
      </c>
      <c r="U12" s="117">
        <f>SUM(U10:U11)</f>
        <v>262590.41499999998</v>
      </c>
      <c r="V12" s="106">
        <f>J12-U12</f>
        <v>0</v>
      </c>
      <c r="W12" s="107">
        <f>SUM(W10:W11)</f>
        <v>401607</v>
      </c>
      <c r="X12" s="106">
        <f>SUM(X10:X11)</f>
        <v>262590.41499999998</v>
      </c>
      <c r="Y12" s="269">
        <f t="shared" ref="Y12:Z12" si="4">SUM(Y10:Y11)</f>
        <v>0</v>
      </c>
      <c r="Z12" s="106">
        <f t="shared" si="4"/>
        <v>262590.41499999998</v>
      </c>
    </row>
    <row r="13" spans="1:26">
      <c r="A13" s="78" t="s">
        <v>28</v>
      </c>
      <c r="C13" s="93"/>
      <c r="E13" s="112"/>
      <c r="F13" s="97"/>
      <c r="G13" s="75"/>
      <c r="H13" s="75"/>
      <c r="I13" s="75"/>
      <c r="J13" s="96"/>
      <c r="K13" s="75"/>
      <c r="L13" s="97"/>
      <c r="M13" s="75"/>
      <c r="N13" s="75"/>
      <c r="O13" s="75"/>
      <c r="P13" s="75"/>
      <c r="Q13" s="75"/>
      <c r="R13" s="75"/>
      <c r="S13" s="75"/>
      <c r="T13" s="75"/>
      <c r="U13" s="111"/>
      <c r="W13" s="99"/>
    </row>
    <row r="14" spans="1:26">
      <c r="A14" s="78" t="s">
        <v>26</v>
      </c>
      <c r="B14" s="91">
        <v>72.150000000000006</v>
      </c>
      <c r="C14" s="93">
        <f>Enrollment!J18</f>
        <v>2494.75</v>
      </c>
      <c r="D14" s="94">
        <v>0</v>
      </c>
      <c r="E14" s="114">
        <f t="shared" ref="E14:E15" si="5">+C14+D14</f>
        <v>2494.75</v>
      </c>
      <c r="F14" s="97">
        <f>+E14*B14</f>
        <v>179996.21250000002</v>
      </c>
      <c r="G14" s="75"/>
      <c r="H14" s="75">
        <v>0</v>
      </c>
      <c r="I14" s="75"/>
      <c r="J14" s="96">
        <f>+F14+H14</f>
        <v>179996.21250000002</v>
      </c>
      <c r="K14" s="75"/>
      <c r="L14" s="97">
        <f>E14*21.15</f>
        <v>52763.962499999994</v>
      </c>
      <c r="M14" s="75">
        <f>E14*23</f>
        <v>57379.25</v>
      </c>
      <c r="N14" s="75">
        <f>E14*5</f>
        <v>12473.75</v>
      </c>
      <c r="O14" s="75">
        <f>E14*4</f>
        <v>9979</v>
      </c>
      <c r="P14" s="75">
        <f>E14*3</f>
        <v>7484.25</v>
      </c>
      <c r="Q14" s="75">
        <f>E14*4</f>
        <v>9979</v>
      </c>
      <c r="R14" s="75">
        <f>E14*2</f>
        <v>4989.5</v>
      </c>
      <c r="S14" s="75">
        <f>E14*6</f>
        <v>14968.5</v>
      </c>
      <c r="T14" s="75">
        <f>E14*4</f>
        <v>9979</v>
      </c>
      <c r="U14" s="115">
        <f>SUM(L14:T14)+1</f>
        <v>179997.21249999999</v>
      </c>
      <c r="V14" s="94">
        <f>J14-U14</f>
        <v>-0.99999999997089617</v>
      </c>
      <c r="W14" s="99">
        <v>278337</v>
      </c>
      <c r="X14" s="94">
        <f>U14</f>
        <v>179997.21249999999</v>
      </c>
      <c r="Y14" s="267">
        <f>B14*Enrollment!K18</f>
        <v>0</v>
      </c>
      <c r="Z14" s="94">
        <f>X14-Y14</f>
        <v>179997.21249999999</v>
      </c>
    </row>
    <row r="15" spans="1:26">
      <c r="A15" s="78" t="s">
        <v>27</v>
      </c>
      <c r="B15" s="91">
        <v>52.15</v>
      </c>
      <c r="C15" s="93">
        <f>Enrollment!J19</f>
        <v>1099.05</v>
      </c>
      <c r="D15" s="94">
        <v>0</v>
      </c>
      <c r="E15" s="114">
        <f t="shared" si="5"/>
        <v>1099.05</v>
      </c>
      <c r="F15" s="97">
        <f>+E15*B15</f>
        <v>57315.457499999997</v>
      </c>
      <c r="G15" s="75"/>
      <c r="H15" s="75">
        <v>0</v>
      </c>
      <c r="I15" s="75"/>
      <c r="J15" s="96">
        <f>+F15+H15</f>
        <v>57315.457499999997</v>
      </c>
      <c r="K15" s="75"/>
      <c r="L15" s="97">
        <f>E15*11.15</f>
        <v>12254.407499999999</v>
      </c>
      <c r="M15" s="75">
        <f>E15*16</f>
        <v>17584.8</v>
      </c>
      <c r="N15" s="75">
        <f>E15*5</f>
        <v>5495.25</v>
      </c>
      <c r="O15" s="75">
        <f>E15*3</f>
        <v>3297.1499999999996</v>
      </c>
      <c r="P15" s="75">
        <f>E15*3</f>
        <v>3297.1499999999996</v>
      </c>
      <c r="Q15" s="75">
        <f>E15*4</f>
        <v>4396.2</v>
      </c>
      <c r="R15" s="75">
        <f>E15*2</f>
        <v>2198.1</v>
      </c>
      <c r="S15" s="75">
        <f>E15*6</f>
        <v>6594.2999999999993</v>
      </c>
      <c r="T15" s="75">
        <f>E15*2</f>
        <v>2198.1</v>
      </c>
      <c r="U15" s="115">
        <f>SUM(L15:T15)</f>
        <v>57315.457499999997</v>
      </c>
      <c r="V15" s="94">
        <f>J15-U15</f>
        <v>0</v>
      </c>
      <c r="W15" s="99">
        <v>101891</v>
      </c>
      <c r="X15" s="94">
        <f>U15</f>
        <v>57315.457499999997</v>
      </c>
      <c r="Y15" s="267">
        <f>B15*Enrollment!K19</f>
        <v>0</v>
      </c>
      <c r="Z15" s="94">
        <f>X15-Y15</f>
        <v>57315.457499999997</v>
      </c>
    </row>
    <row r="16" spans="1:26" s="108" customFormat="1">
      <c r="A16" s="100" t="s">
        <v>19</v>
      </c>
      <c r="B16" s="101"/>
      <c r="C16" s="102">
        <f>SUM(C14:C15)</f>
        <v>3593.8</v>
      </c>
      <c r="D16" s="102">
        <f>SUM(D14:D15)</f>
        <v>0</v>
      </c>
      <c r="E16" s="102">
        <f>SUM(E14:E15)</f>
        <v>3593.8</v>
      </c>
      <c r="F16" s="103">
        <f>SUM(F14:F15)</f>
        <v>237311.67</v>
      </c>
      <c r="G16" s="116"/>
      <c r="H16" s="104">
        <f>SUM(H14:H15)</f>
        <v>0</v>
      </c>
      <c r="I16" s="116"/>
      <c r="J16" s="118">
        <f>SUM(J14:J15)</f>
        <v>237311.67</v>
      </c>
      <c r="K16" s="116"/>
      <c r="L16" s="119">
        <f t="shared" ref="L16:T16" si="6">SUM(L14:L15)</f>
        <v>65018.369999999995</v>
      </c>
      <c r="M16" s="120">
        <f t="shared" si="6"/>
        <v>74964.05</v>
      </c>
      <c r="N16" s="120">
        <f t="shared" si="6"/>
        <v>17969</v>
      </c>
      <c r="O16" s="120">
        <f t="shared" si="6"/>
        <v>13276.15</v>
      </c>
      <c r="P16" s="120">
        <f t="shared" si="6"/>
        <v>10781.4</v>
      </c>
      <c r="Q16" s="120">
        <f t="shared" si="6"/>
        <v>14375.2</v>
      </c>
      <c r="R16" s="120">
        <f t="shared" si="6"/>
        <v>7187.6</v>
      </c>
      <c r="S16" s="120">
        <f t="shared" si="6"/>
        <v>21562.799999999999</v>
      </c>
      <c r="T16" s="120">
        <f t="shared" si="6"/>
        <v>12177.1</v>
      </c>
      <c r="U16" s="121">
        <f>SUM(U14:U15)-1</f>
        <v>237311.66999999998</v>
      </c>
      <c r="V16" s="106">
        <f>J16-U16</f>
        <v>0</v>
      </c>
      <c r="W16" s="107">
        <f>SUM(W14:W15)</f>
        <v>380228</v>
      </c>
      <c r="X16" s="106">
        <f>SUM(X14:X15)-1</f>
        <v>237311.66999999998</v>
      </c>
      <c r="Y16" s="269">
        <f>SUM(Y14:Y15)</f>
        <v>0</v>
      </c>
      <c r="Z16" s="106">
        <f t="shared" ref="Z16" si="7">SUM(Z14:Z15)-1</f>
        <v>237311.66999999998</v>
      </c>
    </row>
    <row r="17" spans="1:27" s="108" customFormat="1">
      <c r="A17" s="100" t="s">
        <v>29</v>
      </c>
      <c r="B17" s="101"/>
      <c r="C17" s="116"/>
      <c r="F17" s="122">
        <f>+F12+F16+F7</f>
        <v>520047.08499999996</v>
      </c>
      <c r="G17" s="123"/>
      <c r="H17" s="123">
        <f t="shared" ref="H17:V17" si="8">H6+H12+H16</f>
        <v>0</v>
      </c>
      <c r="I17" s="123">
        <f t="shared" si="8"/>
        <v>0</v>
      </c>
      <c r="J17" s="105">
        <f>+J12+J16+J7</f>
        <v>520047.08499999996</v>
      </c>
      <c r="K17" s="123">
        <f t="shared" si="8"/>
        <v>0</v>
      </c>
      <c r="L17" s="103">
        <f t="shared" ref="L17:U17" si="9">+L12+L16+L7</f>
        <v>155742.185</v>
      </c>
      <c r="M17" s="104">
        <f t="shared" si="9"/>
        <v>157707.29999999999</v>
      </c>
      <c r="N17" s="104">
        <f t="shared" si="9"/>
        <v>38309.5</v>
      </c>
      <c r="O17" s="104">
        <f t="shared" si="9"/>
        <v>28002.400000000001</v>
      </c>
      <c r="P17" s="104">
        <f t="shared" si="9"/>
        <v>22985.699999999997</v>
      </c>
      <c r="Q17" s="104">
        <f t="shared" si="9"/>
        <v>30647.599999999999</v>
      </c>
      <c r="R17" s="104">
        <f t="shared" si="9"/>
        <v>15323.8</v>
      </c>
      <c r="S17" s="104">
        <f t="shared" si="9"/>
        <v>45971.399999999994</v>
      </c>
      <c r="T17" s="104">
        <f t="shared" si="9"/>
        <v>25357.199999999997</v>
      </c>
      <c r="U17" s="105">
        <f t="shared" si="9"/>
        <v>520047.08499999996</v>
      </c>
      <c r="V17" s="123">
        <f t="shared" si="8"/>
        <v>0</v>
      </c>
      <c r="W17" s="123">
        <f>W6+W12+W16</f>
        <v>800635</v>
      </c>
      <c r="X17" s="106">
        <f>X16+X12+X7</f>
        <v>520047.08499999996</v>
      </c>
      <c r="Y17" s="269">
        <f t="shared" ref="Y17:Z17" si="10">Y16+Y12+Y7</f>
        <v>0</v>
      </c>
      <c r="Z17" s="106">
        <f t="shared" si="10"/>
        <v>520047.08499999996</v>
      </c>
    </row>
    <row r="18" spans="1:27" hidden="1">
      <c r="A18" s="78" t="s">
        <v>30</v>
      </c>
      <c r="C18" s="75"/>
      <c r="F18" s="97"/>
      <c r="G18" s="75"/>
      <c r="H18" s="75">
        <v>0</v>
      </c>
      <c r="I18" s="75"/>
      <c r="J18" s="96">
        <f>+F18+H18</f>
        <v>0</v>
      </c>
      <c r="K18" s="75"/>
      <c r="L18" s="97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96">
        <f>SUM(L18:T18)</f>
        <v>0</v>
      </c>
      <c r="W18" s="99">
        <v>1500</v>
      </c>
    </row>
    <row r="19" spans="1:27">
      <c r="A19" s="78" t="s">
        <v>31</v>
      </c>
      <c r="C19" s="75"/>
      <c r="F19" s="97">
        <v>100982</v>
      </c>
      <c r="G19" s="75"/>
      <c r="H19" s="75">
        <f>58303+21600+10000+42293+103342.14+3150+25000+25351+225080.21</f>
        <v>514119.35</v>
      </c>
      <c r="I19" s="75"/>
      <c r="J19" s="96">
        <f>+F19+H19</f>
        <v>615101.35</v>
      </c>
      <c r="K19" s="75"/>
      <c r="L19" s="97">
        <f>100982+79903+103342.14+3150+25000</f>
        <v>312377.14</v>
      </c>
      <c r="M19" s="75">
        <v>42293</v>
      </c>
      <c r="N19" s="75"/>
      <c r="O19" s="75"/>
      <c r="P19" s="75"/>
      <c r="Q19" s="75">
        <v>25351</v>
      </c>
      <c r="R19" s="75"/>
      <c r="S19" s="75">
        <v>225080.21</v>
      </c>
      <c r="T19" s="75">
        <v>10000</v>
      </c>
      <c r="U19" s="96">
        <f>SUM(L19:T19)</f>
        <v>615101.35</v>
      </c>
      <c r="W19" s="99"/>
      <c r="X19" s="94">
        <f>U19</f>
        <v>615101.35</v>
      </c>
      <c r="Y19" s="267">
        <v>0</v>
      </c>
      <c r="Z19" s="94">
        <f>X19-Y19</f>
        <v>615101.35</v>
      </c>
    </row>
    <row r="20" spans="1:27" s="108" customFormat="1">
      <c r="A20" s="100" t="s">
        <v>32</v>
      </c>
      <c r="B20" s="101"/>
      <c r="C20" s="116"/>
      <c r="F20" s="103">
        <f>SUM(F17:F19)</f>
        <v>621029.08499999996</v>
      </c>
      <c r="G20" s="104">
        <f t="shared" ref="G20:Z20" si="11">SUM(G17:G19)</f>
        <v>0</v>
      </c>
      <c r="H20" s="104">
        <f t="shared" si="11"/>
        <v>514119.35</v>
      </c>
      <c r="I20" s="104">
        <f t="shared" si="11"/>
        <v>0</v>
      </c>
      <c r="J20" s="105">
        <f>SUM(J17:J19)</f>
        <v>1135148.4350000001</v>
      </c>
      <c r="K20" s="103">
        <f t="shared" si="11"/>
        <v>0</v>
      </c>
      <c r="L20" s="103">
        <f>SUM(L17:L19)</f>
        <v>468119.32500000001</v>
      </c>
      <c r="M20" s="124">
        <f t="shared" si="11"/>
        <v>200000.3</v>
      </c>
      <c r="N20" s="104">
        <f t="shared" si="11"/>
        <v>38309.5</v>
      </c>
      <c r="O20" s="104">
        <f t="shared" si="11"/>
        <v>28002.400000000001</v>
      </c>
      <c r="P20" s="104">
        <f t="shared" si="11"/>
        <v>22985.699999999997</v>
      </c>
      <c r="Q20" s="124">
        <f t="shared" si="11"/>
        <v>55998.6</v>
      </c>
      <c r="R20" s="125">
        <f t="shared" si="11"/>
        <v>15323.8</v>
      </c>
      <c r="S20" s="104">
        <f t="shared" si="11"/>
        <v>271051.61</v>
      </c>
      <c r="T20" s="104">
        <f t="shared" si="11"/>
        <v>35357.199999999997</v>
      </c>
      <c r="U20" s="105">
        <f t="shared" si="11"/>
        <v>1135148.4350000001</v>
      </c>
      <c r="V20" s="105">
        <f t="shared" si="11"/>
        <v>0</v>
      </c>
      <c r="W20" s="105">
        <f t="shared" si="11"/>
        <v>802135</v>
      </c>
      <c r="X20" s="105">
        <f t="shared" si="11"/>
        <v>1135148.4350000001</v>
      </c>
      <c r="Y20" s="270">
        <f t="shared" si="11"/>
        <v>0</v>
      </c>
      <c r="Z20" s="105">
        <f t="shared" si="11"/>
        <v>1135148.4350000001</v>
      </c>
    </row>
    <row r="21" spans="1:27">
      <c r="C21" s="75"/>
      <c r="F21" s="75"/>
      <c r="G21" s="75"/>
      <c r="H21" s="75"/>
      <c r="I21" s="75"/>
      <c r="J21" s="96"/>
      <c r="K21" s="75"/>
      <c r="L21" s="97"/>
      <c r="M21" s="75"/>
      <c r="N21" s="75"/>
      <c r="O21" s="75"/>
      <c r="P21" s="75"/>
      <c r="Q21" s="75"/>
      <c r="R21" s="75"/>
      <c r="S21" s="75"/>
      <c r="T21" s="75"/>
      <c r="U21" s="126"/>
      <c r="V21" s="75"/>
      <c r="W21" s="75"/>
    </row>
    <row r="22" spans="1:27">
      <c r="A22" s="100" t="s">
        <v>33</v>
      </c>
      <c r="F22" s="75"/>
      <c r="G22" s="75"/>
      <c r="H22" s="75"/>
      <c r="I22" s="75"/>
      <c r="J22" s="96"/>
      <c r="K22" s="75"/>
      <c r="L22" s="97"/>
      <c r="M22" s="75"/>
      <c r="N22" s="75"/>
      <c r="O22" s="75"/>
      <c r="P22" s="75"/>
      <c r="Q22" s="75"/>
      <c r="R22" s="75"/>
      <c r="S22" s="75"/>
      <c r="T22" s="75"/>
      <c r="U22" s="111"/>
      <c r="W22" s="99"/>
    </row>
    <row r="23" spans="1:27">
      <c r="A23" s="100" t="s">
        <v>34</v>
      </c>
      <c r="F23" s="75"/>
      <c r="G23" s="75"/>
      <c r="H23" s="75"/>
      <c r="I23" s="75"/>
      <c r="J23" s="96"/>
      <c r="K23" s="75"/>
      <c r="L23" s="97"/>
      <c r="M23" s="75">
        <v>200000</v>
      </c>
      <c r="N23" s="75"/>
      <c r="O23" s="75"/>
      <c r="P23" s="75"/>
      <c r="Q23" s="75"/>
      <c r="R23" s="75"/>
      <c r="S23" s="75"/>
      <c r="T23" s="75"/>
      <c r="U23" s="127">
        <f>SUM(M23:T23)</f>
        <v>200000</v>
      </c>
      <c r="W23" s="99"/>
      <c r="X23" s="94">
        <f>U23</f>
        <v>200000</v>
      </c>
      <c r="Y23" s="267">
        <f>+Athletics!J42+Athletics!K42</f>
        <v>167817.86</v>
      </c>
      <c r="Z23" s="128">
        <f t="shared" ref="Z23:Z25" si="12">X23-Y23</f>
        <v>32182.140000000014</v>
      </c>
      <c r="AA23" s="129"/>
    </row>
    <row r="24" spans="1:27">
      <c r="A24" s="100" t="s">
        <v>15</v>
      </c>
      <c r="F24" s="75"/>
      <c r="G24" s="75"/>
      <c r="H24" s="75"/>
      <c r="I24" s="75"/>
      <c r="J24" s="96"/>
      <c r="K24" s="75"/>
      <c r="L24" s="97"/>
      <c r="M24" s="75"/>
      <c r="N24" s="75"/>
      <c r="O24" s="75"/>
      <c r="P24" s="75"/>
      <c r="Q24" s="75">
        <v>55999</v>
      </c>
      <c r="R24" s="75"/>
      <c r="S24" s="75"/>
      <c r="T24" s="75"/>
      <c r="U24" s="127">
        <f t="shared" ref="U24:U30" si="13">SUM(M24:T24)</f>
        <v>55999</v>
      </c>
      <c r="W24" s="99"/>
      <c r="X24" s="94">
        <f t="shared" ref="X24:X70" si="14">U24</f>
        <v>55999</v>
      </c>
      <c r="Y24" s="267">
        <f>+'Radio Station'!J22+'Radio Station'!K22</f>
        <v>3069.96</v>
      </c>
      <c r="Z24" s="128">
        <f t="shared" si="12"/>
        <v>52929.04</v>
      </c>
      <c r="AA24" s="129"/>
    </row>
    <row r="25" spans="1:27">
      <c r="A25" s="100" t="s">
        <v>35</v>
      </c>
      <c r="F25" s="75"/>
      <c r="G25" s="75"/>
      <c r="H25" s="75"/>
      <c r="I25" s="75"/>
      <c r="J25" s="96"/>
      <c r="K25" s="75"/>
      <c r="L25" s="97"/>
      <c r="M25" s="75"/>
      <c r="N25" s="75"/>
      <c r="O25" s="75"/>
      <c r="P25" s="75"/>
      <c r="Q25" s="75"/>
      <c r="R25" s="75">
        <v>15324</v>
      </c>
      <c r="S25" s="75"/>
      <c r="T25" s="75"/>
      <c r="U25" s="127">
        <f t="shared" si="13"/>
        <v>15324</v>
      </c>
      <c r="W25" s="99"/>
      <c r="X25" s="94">
        <f>U25</f>
        <v>15324</v>
      </c>
      <c r="Y25" s="267">
        <f>'A.P.A.F.'!J17</f>
        <v>0</v>
      </c>
      <c r="Z25" s="128">
        <f t="shared" si="12"/>
        <v>15324</v>
      </c>
      <c r="AA25" s="129"/>
    </row>
    <row r="26" spans="1:27">
      <c r="A26" s="100" t="s">
        <v>36</v>
      </c>
      <c r="F26" s="75"/>
      <c r="G26" s="75"/>
      <c r="H26" s="75"/>
      <c r="I26" s="75"/>
      <c r="J26" s="96"/>
      <c r="K26" s="75"/>
      <c r="L26" s="97"/>
      <c r="M26" s="75"/>
      <c r="N26" s="75"/>
      <c r="O26" s="75"/>
      <c r="P26" s="75"/>
      <c r="Q26" s="75"/>
      <c r="R26" s="75"/>
      <c r="S26" s="75">
        <v>271052</v>
      </c>
      <c r="T26" s="75"/>
      <c r="U26" s="127">
        <f t="shared" si="13"/>
        <v>271052</v>
      </c>
      <c r="W26" s="99"/>
      <c r="X26" s="94">
        <f t="shared" si="14"/>
        <v>271052</v>
      </c>
      <c r="Y26" s="267">
        <f>43404.06+'Stdt Gov''t'!J24+'Stdt Gov''t'!K24</f>
        <v>211697.07</v>
      </c>
      <c r="Z26" s="128">
        <f>X26-Y26</f>
        <v>59354.929999999993</v>
      </c>
      <c r="AA26" s="129"/>
    </row>
    <row r="27" spans="1:27">
      <c r="A27" s="100" t="s">
        <v>37</v>
      </c>
      <c r="F27" s="75"/>
      <c r="G27" s="75"/>
      <c r="H27" s="75"/>
      <c r="I27" s="75"/>
      <c r="J27" s="96"/>
      <c r="K27" s="75"/>
      <c r="L27" s="97"/>
      <c r="M27" s="75"/>
      <c r="N27" s="75"/>
      <c r="O27" s="75"/>
      <c r="P27" s="75"/>
      <c r="Q27" s="75"/>
      <c r="R27" s="75"/>
      <c r="S27" s="75"/>
      <c r="T27" s="75">
        <v>35357</v>
      </c>
      <c r="U27" s="127">
        <f t="shared" si="13"/>
        <v>35357</v>
      </c>
      <c r="W27" s="99"/>
      <c r="X27" s="94">
        <f t="shared" si="14"/>
        <v>35357</v>
      </c>
      <c r="Y27" s="267">
        <f>+'Stdt Clubs'!J32+'Stdt Clubs'!K32</f>
        <v>2428.29</v>
      </c>
      <c r="Z27" s="128">
        <f t="shared" ref="Z27:Z72" si="15">X27-Y27</f>
        <v>32928.71</v>
      </c>
      <c r="AA27" s="129"/>
    </row>
    <row r="28" spans="1:27">
      <c r="A28" s="100" t="s">
        <v>38</v>
      </c>
      <c r="F28" s="75"/>
      <c r="G28" s="75"/>
      <c r="H28" s="75"/>
      <c r="I28" s="75"/>
      <c r="J28" s="96"/>
      <c r="K28" s="75"/>
      <c r="L28" s="97"/>
      <c r="M28" s="75"/>
      <c r="N28" s="75">
        <v>38310</v>
      </c>
      <c r="O28" s="75"/>
      <c r="P28" s="75"/>
      <c r="Q28" s="75"/>
      <c r="R28" s="75"/>
      <c r="S28" s="75"/>
      <c r="T28" s="75"/>
      <c r="U28" s="127">
        <f t="shared" si="13"/>
        <v>38310</v>
      </c>
      <c r="W28" s="99"/>
      <c r="X28" s="94">
        <f t="shared" si="14"/>
        <v>38310</v>
      </c>
      <c r="Z28" s="128">
        <f t="shared" si="15"/>
        <v>38310</v>
      </c>
      <c r="AA28" s="129"/>
    </row>
    <row r="29" spans="1:27">
      <c r="A29" s="100" t="s">
        <v>39</v>
      </c>
      <c r="F29" s="75"/>
      <c r="G29" s="75"/>
      <c r="H29" s="75"/>
      <c r="I29" s="75"/>
      <c r="J29" s="96"/>
      <c r="K29" s="75"/>
      <c r="L29" s="97"/>
      <c r="M29" s="75"/>
      <c r="N29" s="75"/>
      <c r="O29" s="75">
        <v>28002</v>
      </c>
      <c r="P29" s="75"/>
      <c r="Q29" s="75"/>
      <c r="R29" s="75"/>
      <c r="S29" s="75"/>
      <c r="T29" s="75"/>
      <c r="U29" s="127">
        <f t="shared" si="13"/>
        <v>28002</v>
      </c>
      <c r="W29" s="99"/>
      <c r="X29" s="94">
        <f t="shared" si="14"/>
        <v>28002</v>
      </c>
      <c r="Z29" s="128">
        <f t="shared" si="15"/>
        <v>28002</v>
      </c>
      <c r="AA29" s="129"/>
    </row>
    <row r="30" spans="1:27">
      <c r="A30" s="100" t="s">
        <v>14</v>
      </c>
      <c r="F30" s="75"/>
      <c r="G30" s="75"/>
      <c r="H30" s="75"/>
      <c r="I30" s="75"/>
      <c r="J30" s="96"/>
      <c r="K30" s="75"/>
      <c r="L30" s="97"/>
      <c r="M30" s="75"/>
      <c r="N30" s="75"/>
      <c r="O30" s="75"/>
      <c r="P30" s="75">
        <v>22986</v>
      </c>
      <c r="Q30" s="75"/>
      <c r="R30" s="75"/>
      <c r="S30" s="75"/>
      <c r="T30" s="75"/>
      <c r="U30" s="127">
        <f t="shared" si="13"/>
        <v>22986</v>
      </c>
      <c r="W30" s="99"/>
      <c r="X30" s="94">
        <f t="shared" si="14"/>
        <v>22986</v>
      </c>
      <c r="Z30" s="128">
        <f t="shared" si="15"/>
        <v>22986</v>
      </c>
      <c r="AA30" s="129"/>
    </row>
    <row r="31" spans="1:27">
      <c r="A31" s="13" t="s">
        <v>40</v>
      </c>
      <c r="B31" s="40"/>
      <c r="C31" s="130"/>
      <c r="D31" s="130"/>
      <c r="E31" s="131"/>
      <c r="F31" s="97">
        <f>'Administrative Fee'!D16</f>
        <v>80000</v>
      </c>
      <c r="G31" s="75"/>
      <c r="H31" s="75">
        <v>0</v>
      </c>
      <c r="I31" s="75"/>
      <c r="J31" s="96">
        <f t="shared" ref="J31:J49" si="16">+F31+H31</f>
        <v>80000</v>
      </c>
      <c r="K31" s="75"/>
      <c r="L31" s="97">
        <f>'Administrative Fee'!F7</f>
        <v>24000</v>
      </c>
      <c r="M31" s="75">
        <f>'Administrative Fee'!F8</f>
        <v>24200</v>
      </c>
      <c r="N31" s="75">
        <f>'Administrative Fee'!F9</f>
        <v>5900</v>
      </c>
      <c r="O31" s="75">
        <f>'Administrative Fee'!F10</f>
        <v>4300</v>
      </c>
      <c r="P31" s="75">
        <f>'Administrative Fee'!F11</f>
        <v>3500</v>
      </c>
      <c r="Q31" s="75">
        <f>'Administrative Fee'!F12</f>
        <v>4700</v>
      </c>
      <c r="R31" s="75">
        <f>'Administrative Fee'!F13</f>
        <v>2400</v>
      </c>
      <c r="S31" s="75">
        <f>'Administrative Fee'!F14</f>
        <v>7100</v>
      </c>
      <c r="T31" s="75">
        <f>'Administrative Fee'!F15</f>
        <v>3900</v>
      </c>
      <c r="U31" s="115">
        <f t="shared" ref="U31:U38" si="17">SUM(L31:T31)</f>
        <v>80000</v>
      </c>
      <c r="V31" s="132">
        <f t="shared" ref="V31:V39" si="18">J31-U31</f>
        <v>0</v>
      </c>
      <c r="W31" s="99">
        <v>80000</v>
      </c>
      <c r="X31" s="94">
        <f>U31</f>
        <v>80000</v>
      </c>
      <c r="Z31" s="128">
        <f>X31-Y31</f>
        <v>80000</v>
      </c>
      <c r="AA31" s="129"/>
    </row>
    <row r="32" spans="1:27">
      <c r="A32" s="13" t="s">
        <v>41</v>
      </c>
      <c r="B32" s="40"/>
      <c r="C32" s="133"/>
      <c r="D32" s="133"/>
      <c r="E32" s="134"/>
      <c r="F32" s="97">
        <f>'Budget Committee'!C14</f>
        <v>4800</v>
      </c>
      <c r="G32" s="75"/>
      <c r="H32" s="75">
        <v>0</v>
      </c>
      <c r="I32" s="75"/>
      <c r="J32" s="96">
        <f t="shared" si="16"/>
        <v>4800</v>
      </c>
      <c r="K32" s="75"/>
      <c r="L32" s="97">
        <f>+J32</f>
        <v>4800</v>
      </c>
      <c r="M32" s="75"/>
      <c r="N32" s="75"/>
      <c r="O32" s="75"/>
      <c r="P32" s="75"/>
      <c r="Q32" s="75"/>
      <c r="R32" s="75"/>
      <c r="S32" s="75"/>
      <c r="T32" s="75"/>
      <c r="U32" s="115">
        <f t="shared" si="17"/>
        <v>4800</v>
      </c>
      <c r="V32" s="132">
        <f t="shared" si="18"/>
        <v>0</v>
      </c>
      <c r="W32" s="99">
        <v>4125</v>
      </c>
      <c r="X32" s="94">
        <f t="shared" si="14"/>
        <v>4800</v>
      </c>
      <c r="Z32" s="128">
        <f t="shared" si="15"/>
        <v>4800</v>
      </c>
      <c r="AA32" s="129"/>
    </row>
    <row r="33" spans="1:27">
      <c r="A33" s="13" t="s">
        <v>42</v>
      </c>
      <c r="B33" s="40"/>
      <c r="C33" s="133"/>
      <c r="D33" s="133"/>
      <c r="E33" s="134"/>
      <c r="F33" s="97">
        <f>'Budget Committee'!C15</f>
        <v>12000</v>
      </c>
      <c r="G33" s="75"/>
      <c r="H33" s="75">
        <v>0</v>
      </c>
      <c r="I33" s="75"/>
      <c r="J33" s="96">
        <f t="shared" si="16"/>
        <v>12000</v>
      </c>
      <c r="K33" s="75"/>
      <c r="L33" s="97">
        <f t="shared" ref="L33:L71" si="19">+J33</f>
        <v>12000</v>
      </c>
      <c r="M33" s="75"/>
      <c r="N33" s="75"/>
      <c r="O33" s="75"/>
      <c r="P33" s="75"/>
      <c r="Q33" s="75"/>
      <c r="R33" s="75"/>
      <c r="S33" s="75"/>
      <c r="T33" s="75"/>
      <c r="U33" s="115">
        <f t="shared" si="17"/>
        <v>12000</v>
      </c>
      <c r="V33" s="132">
        <f t="shared" si="18"/>
        <v>0</v>
      </c>
      <c r="W33" s="99">
        <v>5400</v>
      </c>
      <c r="X33" s="94">
        <f t="shared" si="14"/>
        <v>12000</v>
      </c>
      <c r="Z33" s="128">
        <f t="shared" si="15"/>
        <v>12000</v>
      </c>
      <c r="AA33" s="129"/>
    </row>
    <row r="34" spans="1:27">
      <c r="A34" s="13" t="s">
        <v>43</v>
      </c>
      <c r="B34" s="40"/>
      <c r="C34" s="133"/>
      <c r="D34" s="133"/>
      <c r="E34" s="134"/>
      <c r="F34" s="97">
        <f>'Budget Committee'!C16</f>
        <v>6000</v>
      </c>
      <c r="G34" s="75"/>
      <c r="H34" s="75"/>
      <c r="I34" s="75"/>
      <c r="J34" s="96">
        <v>6000</v>
      </c>
      <c r="K34" s="75"/>
      <c r="L34" s="97">
        <v>6000</v>
      </c>
      <c r="M34" s="75"/>
      <c r="N34" s="75"/>
      <c r="O34" s="75"/>
      <c r="P34" s="75"/>
      <c r="Q34" s="75"/>
      <c r="R34" s="75"/>
      <c r="S34" s="75"/>
      <c r="T34" s="75"/>
      <c r="U34" s="115">
        <v>6000</v>
      </c>
      <c r="V34" s="132"/>
      <c r="W34" s="99"/>
      <c r="X34" s="94">
        <f t="shared" si="14"/>
        <v>6000</v>
      </c>
      <c r="Z34" s="128">
        <f t="shared" si="15"/>
        <v>6000</v>
      </c>
      <c r="AA34" s="129"/>
    </row>
    <row r="35" spans="1:27">
      <c r="A35" s="13" t="s">
        <v>44</v>
      </c>
      <c r="B35" s="11"/>
      <c r="C35" s="133"/>
      <c r="D35" s="133"/>
      <c r="E35" s="134"/>
      <c r="F35" s="97">
        <f>'Budget Committee'!C17</f>
        <v>1500</v>
      </c>
      <c r="G35" s="75"/>
      <c r="H35" s="75">
        <v>0</v>
      </c>
      <c r="I35" s="75"/>
      <c r="J35" s="96">
        <f t="shared" si="16"/>
        <v>1500</v>
      </c>
      <c r="K35" s="75"/>
      <c r="L35" s="97">
        <f t="shared" si="19"/>
        <v>1500</v>
      </c>
      <c r="M35" s="75"/>
      <c r="N35" s="75"/>
      <c r="O35" s="75"/>
      <c r="P35" s="75"/>
      <c r="Q35" s="75"/>
      <c r="R35" s="75"/>
      <c r="S35" s="75"/>
      <c r="T35" s="75"/>
      <c r="U35" s="115">
        <f t="shared" si="17"/>
        <v>1500</v>
      </c>
      <c r="V35" s="132">
        <f t="shared" si="18"/>
        <v>0</v>
      </c>
      <c r="W35" s="99">
        <v>1181</v>
      </c>
      <c r="X35" s="94">
        <f t="shared" si="14"/>
        <v>1500</v>
      </c>
      <c r="Z35" s="128">
        <f t="shared" si="15"/>
        <v>1500</v>
      </c>
      <c r="AA35" s="129"/>
    </row>
    <row r="36" spans="1:27">
      <c r="A36" s="5" t="s">
        <v>45</v>
      </c>
      <c r="B36" s="11"/>
      <c r="C36" s="133"/>
      <c r="D36" s="133"/>
      <c r="E36" s="134"/>
      <c r="F36" s="97">
        <f>'Budget Committee'!C18</f>
        <v>2000</v>
      </c>
      <c r="G36" s="75"/>
      <c r="H36" s="75">
        <v>0</v>
      </c>
      <c r="I36" s="75"/>
      <c r="J36" s="96">
        <f t="shared" si="16"/>
        <v>2000</v>
      </c>
      <c r="K36" s="75"/>
      <c r="L36" s="97">
        <f t="shared" si="19"/>
        <v>2000</v>
      </c>
      <c r="M36" s="75"/>
      <c r="N36" s="75"/>
      <c r="O36" s="75"/>
      <c r="P36" s="75"/>
      <c r="Q36" s="75"/>
      <c r="R36" s="75"/>
      <c r="S36" s="75"/>
      <c r="T36" s="75"/>
      <c r="U36" s="115">
        <f t="shared" si="17"/>
        <v>2000</v>
      </c>
      <c r="V36" s="132">
        <f t="shared" si="18"/>
        <v>0</v>
      </c>
      <c r="W36" s="99">
        <v>2000</v>
      </c>
      <c r="X36" s="94">
        <f t="shared" si="14"/>
        <v>2000</v>
      </c>
      <c r="Z36" s="128">
        <f t="shared" si="15"/>
        <v>2000</v>
      </c>
      <c r="AA36" s="129"/>
    </row>
    <row r="37" spans="1:27" hidden="1">
      <c r="A37" s="5" t="s">
        <v>45</v>
      </c>
      <c r="B37" s="11"/>
      <c r="C37" s="133"/>
      <c r="D37" s="133"/>
      <c r="E37" s="134"/>
      <c r="F37" s="97">
        <f>'Budget Committee'!C19</f>
        <v>0</v>
      </c>
      <c r="G37" s="75"/>
      <c r="H37" s="75"/>
      <c r="I37" s="75"/>
      <c r="J37" s="96">
        <f t="shared" si="16"/>
        <v>0</v>
      </c>
      <c r="K37" s="75"/>
      <c r="L37" s="97">
        <f t="shared" si="19"/>
        <v>0</v>
      </c>
      <c r="M37" s="75"/>
      <c r="N37" s="75"/>
      <c r="O37" s="75"/>
      <c r="P37" s="75"/>
      <c r="Q37" s="75"/>
      <c r="R37" s="75"/>
      <c r="S37" s="75"/>
      <c r="T37" s="75"/>
      <c r="U37" s="115">
        <f t="shared" si="17"/>
        <v>0</v>
      </c>
      <c r="V37" s="132">
        <f t="shared" si="18"/>
        <v>0</v>
      </c>
      <c r="W37" s="99">
        <v>2500</v>
      </c>
      <c r="X37" s="94">
        <f t="shared" si="14"/>
        <v>0</v>
      </c>
      <c r="Z37" s="128">
        <f t="shared" si="15"/>
        <v>0</v>
      </c>
      <c r="AA37" s="129"/>
    </row>
    <row r="38" spans="1:27">
      <c r="A38" s="5" t="s">
        <v>46</v>
      </c>
      <c r="B38" s="11"/>
      <c r="C38" s="133"/>
      <c r="D38" s="133"/>
      <c r="E38" s="134"/>
      <c r="F38" s="97">
        <f>'Budget Committee'!C20</f>
        <v>7000</v>
      </c>
      <c r="G38" s="75"/>
      <c r="H38" s="75"/>
      <c r="I38" s="75"/>
      <c r="J38" s="96">
        <f t="shared" si="16"/>
        <v>7000</v>
      </c>
      <c r="K38" s="75"/>
      <c r="L38" s="97">
        <f t="shared" si="19"/>
        <v>7000</v>
      </c>
      <c r="M38" s="75"/>
      <c r="N38" s="75"/>
      <c r="O38" s="75"/>
      <c r="P38" s="75"/>
      <c r="Q38" s="75"/>
      <c r="R38" s="75"/>
      <c r="S38" s="75"/>
      <c r="T38" s="75"/>
      <c r="U38" s="115">
        <f t="shared" si="17"/>
        <v>7000</v>
      </c>
      <c r="V38" s="132">
        <f t="shared" si="18"/>
        <v>0</v>
      </c>
      <c r="W38" s="99">
        <v>20000</v>
      </c>
      <c r="X38" s="94">
        <f t="shared" si="14"/>
        <v>7000</v>
      </c>
      <c r="Z38" s="128">
        <f t="shared" si="15"/>
        <v>7000</v>
      </c>
      <c r="AA38" s="129"/>
    </row>
    <row r="39" spans="1:27" hidden="1">
      <c r="A39" s="5" t="s">
        <v>47</v>
      </c>
      <c r="B39" s="11"/>
      <c r="C39" s="133"/>
      <c r="D39" s="133"/>
      <c r="E39" s="134"/>
      <c r="F39" s="97">
        <v>0</v>
      </c>
      <c r="G39" s="75"/>
      <c r="H39" s="75">
        <v>0</v>
      </c>
      <c r="I39" s="75"/>
      <c r="J39" s="96">
        <f t="shared" si="16"/>
        <v>0</v>
      </c>
      <c r="K39" s="75"/>
      <c r="L39" s="97">
        <f t="shared" si="19"/>
        <v>0</v>
      </c>
      <c r="M39" s="75"/>
      <c r="N39" s="75"/>
      <c r="O39" s="75"/>
      <c r="P39" s="75"/>
      <c r="Q39" s="75"/>
      <c r="R39" s="75"/>
      <c r="S39" s="75">
        <v>0</v>
      </c>
      <c r="T39" s="75"/>
      <c r="U39" s="115">
        <f t="shared" ref="U39:U43" si="20">SUM(L39:T39)</f>
        <v>0</v>
      </c>
      <c r="V39" s="132">
        <f t="shared" si="18"/>
        <v>0</v>
      </c>
      <c r="W39" s="99"/>
      <c r="X39" s="94">
        <f t="shared" si="14"/>
        <v>0</v>
      </c>
      <c r="Z39" s="128">
        <f t="shared" si="15"/>
        <v>0</v>
      </c>
      <c r="AA39" s="129"/>
    </row>
    <row r="40" spans="1:27" hidden="1">
      <c r="A40" s="5" t="s">
        <v>48</v>
      </c>
      <c r="B40" s="11"/>
      <c r="C40" s="133"/>
      <c r="D40" s="133"/>
      <c r="E40" s="134"/>
      <c r="F40" s="97">
        <v>0</v>
      </c>
      <c r="G40" s="75"/>
      <c r="H40" s="75">
        <v>0</v>
      </c>
      <c r="I40" s="75"/>
      <c r="J40" s="96">
        <f t="shared" si="16"/>
        <v>0</v>
      </c>
      <c r="K40" s="75"/>
      <c r="L40" s="97">
        <f t="shared" si="19"/>
        <v>0</v>
      </c>
      <c r="M40" s="75"/>
      <c r="N40" s="75"/>
      <c r="O40" s="75"/>
      <c r="P40" s="75"/>
      <c r="Q40" s="75"/>
      <c r="R40" s="75"/>
      <c r="S40" s="75"/>
      <c r="T40" s="75"/>
      <c r="U40" s="115">
        <f t="shared" si="20"/>
        <v>0</v>
      </c>
      <c r="V40" s="132"/>
      <c r="W40" s="99"/>
      <c r="X40" s="94">
        <f t="shared" si="14"/>
        <v>0</v>
      </c>
      <c r="Z40" s="128">
        <f t="shared" si="15"/>
        <v>0</v>
      </c>
      <c r="AA40" s="129"/>
    </row>
    <row r="41" spans="1:27" hidden="1">
      <c r="A41" s="5" t="s">
        <v>49</v>
      </c>
      <c r="B41" s="11"/>
      <c r="C41" s="133"/>
      <c r="D41" s="133"/>
      <c r="E41" s="134"/>
      <c r="F41" s="97">
        <v>0</v>
      </c>
      <c r="G41" s="75"/>
      <c r="H41" s="75">
        <v>0</v>
      </c>
      <c r="I41" s="75"/>
      <c r="J41" s="96">
        <f t="shared" si="16"/>
        <v>0</v>
      </c>
      <c r="K41" s="75"/>
      <c r="L41" s="97">
        <f t="shared" si="19"/>
        <v>0</v>
      </c>
      <c r="M41" s="75">
        <v>0</v>
      </c>
      <c r="N41" s="75">
        <v>0</v>
      </c>
      <c r="O41" s="75"/>
      <c r="P41" s="75"/>
      <c r="Q41" s="75"/>
      <c r="R41" s="75"/>
      <c r="S41" s="75"/>
      <c r="T41" s="75"/>
      <c r="U41" s="115">
        <f t="shared" si="20"/>
        <v>0</v>
      </c>
      <c r="V41" s="132"/>
      <c r="W41" s="99"/>
      <c r="X41" s="94">
        <f t="shared" si="14"/>
        <v>0</v>
      </c>
      <c r="Z41" s="128">
        <f t="shared" si="15"/>
        <v>0</v>
      </c>
      <c r="AA41" s="129"/>
    </row>
    <row r="42" spans="1:27" hidden="1">
      <c r="A42" s="5" t="s">
        <v>50</v>
      </c>
      <c r="B42" s="11"/>
      <c r="C42" s="133"/>
      <c r="D42" s="133"/>
      <c r="E42" s="134"/>
      <c r="F42" s="97">
        <v>0</v>
      </c>
      <c r="G42" s="75"/>
      <c r="H42" s="75">
        <v>0</v>
      </c>
      <c r="I42" s="75"/>
      <c r="J42" s="96">
        <f t="shared" si="16"/>
        <v>0</v>
      </c>
      <c r="K42" s="75"/>
      <c r="L42" s="97">
        <f t="shared" si="19"/>
        <v>0</v>
      </c>
      <c r="M42" s="75"/>
      <c r="N42" s="75"/>
      <c r="O42" s="75"/>
      <c r="P42" s="75"/>
      <c r="Q42" s="75"/>
      <c r="R42" s="75"/>
      <c r="S42" s="75"/>
      <c r="T42" s="75"/>
      <c r="U42" s="115">
        <f t="shared" si="20"/>
        <v>0</v>
      </c>
      <c r="V42" s="132">
        <f>J42-U42</f>
        <v>0</v>
      </c>
      <c r="W42" s="99">
        <v>1000</v>
      </c>
      <c r="X42" s="94">
        <f t="shared" si="14"/>
        <v>0</v>
      </c>
      <c r="Z42" s="128">
        <f t="shared" si="15"/>
        <v>0</v>
      </c>
      <c r="AA42" s="129"/>
    </row>
    <row r="43" spans="1:27">
      <c r="A43" s="5" t="s">
        <v>47</v>
      </c>
      <c r="B43" s="11"/>
      <c r="C43" s="133"/>
      <c r="D43" s="133"/>
      <c r="E43" s="134"/>
      <c r="F43" s="97">
        <f>'Budget Committee'!C21</f>
        <v>35000</v>
      </c>
      <c r="G43" s="75"/>
      <c r="H43" s="75">
        <v>0</v>
      </c>
      <c r="I43" s="75"/>
      <c r="J43" s="96">
        <f t="shared" si="16"/>
        <v>35000</v>
      </c>
      <c r="K43" s="75"/>
      <c r="L43" s="97">
        <f t="shared" si="19"/>
        <v>35000</v>
      </c>
      <c r="M43" s="75"/>
      <c r="N43" s="75"/>
      <c r="O43" s="75"/>
      <c r="P43" s="75"/>
      <c r="Q43" s="75"/>
      <c r="R43" s="75"/>
      <c r="S43" s="75"/>
      <c r="T43" s="75"/>
      <c r="U43" s="115">
        <f t="shared" si="20"/>
        <v>35000</v>
      </c>
      <c r="V43" s="132"/>
      <c r="W43" s="99"/>
      <c r="X43" s="94">
        <f t="shared" si="14"/>
        <v>35000</v>
      </c>
      <c r="Y43" s="267">
        <f>'Budget Committee'!J21</f>
        <v>23180</v>
      </c>
      <c r="Z43" s="128">
        <f t="shared" si="15"/>
        <v>11820</v>
      </c>
      <c r="AA43" s="129"/>
    </row>
    <row r="44" spans="1:27">
      <c r="A44" s="5" t="s">
        <v>51</v>
      </c>
      <c r="B44" s="11"/>
      <c r="C44" s="133"/>
      <c r="D44" s="133"/>
      <c r="E44" s="134"/>
      <c r="F44" s="97"/>
      <c r="G44" s="75"/>
      <c r="H44" s="75">
        <f>'Budget Committee'!C25</f>
        <v>25000</v>
      </c>
      <c r="I44" s="75"/>
      <c r="J44" s="96">
        <f t="shared" si="16"/>
        <v>25000</v>
      </c>
      <c r="K44" s="75"/>
      <c r="L44" s="97">
        <f t="shared" si="19"/>
        <v>25000</v>
      </c>
      <c r="M44" s="75"/>
      <c r="N44" s="75"/>
      <c r="O44" s="75"/>
      <c r="P44" s="75"/>
      <c r="Q44" s="75"/>
      <c r="R44" s="75"/>
      <c r="S44" s="75"/>
      <c r="T44" s="75"/>
      <c r="U44" s="115">
        <f t="shared" ref="U44" si="21">SUM(L44:T44)</f>
        <v>25000</v>
      </c>
      <c r="V44" s="132"/>
      <c r="W44" s="99"/>
      <c r="X44" s="94">
        <f t="shared" si="14"/>
        <v>25000</v>
      </c>
      <c r="Z44" s="128">
        <f t="shared" si="15"/>
        <v>25000</v>
      </c>
      <c r="AA44" s="129"/>
    </row>
    <row r="45" spans="1:27">
      <c r="A45" s="5" t="s">
        <v>52</v>
      </c>
      <c r="B45" s="11"/>
      <c r="C45" s="133"/>
      <c r="D45" s="133"/>
      <c r="E45" s="134"/>
      <c r="F45" s="97"/>
      <c r="G45" s="75"/>
      <c r="H45" s="75">
        <f>'Budget Committee'!C26</f>
        <v>3150</v>
      </c>
      <c r="I45" s="75"/>
      <c r="J45" s="96">
        <f t="shared" si="16"/>
        <v>3150</v>
      </c>
      <c r="K45" s="75"/>
      <c r="L45" s="97">
        <f t="shared" si="19"/>
        <v>3150</v>
      </c>
      <c r="M45" s="75"/>
      <c r="N45" s="75"/>
      <c r="O45" s="75"/>
      <c r="P45" s="75"/>
      <c r="Q45" s="75"/>
      <c r="R45" s="75"/>
      <c r="S45" s="75"/>
      <c r="T45" s="75"/>
      <c r="U45" s="115">
        <f t="shared" ref="U45:U70" si="22">SUM(L45:T45)</f>
        <v>3150</v>
      </c>
      <c r="V45" s="132"/>
      <c r="W45" s="99"/>
      <c r="X45" s="94">
        <f t="shared" si="14"/>
        <v>3150</v>
      </c>
      <c r="Y45" s="267">
        <v>0</v>
      </c>
      <c r="Z45" s="128">
        <f t="shared" si="15"/>
        <v>3150</v>
      </c>
      <c r="AA45" s="129"/>
    </row>
    <row r="46" spans="1:27">
      <c r="A46" s="5" t="s">
        <v>53</v>
      </c>
      <c r="B46" s="11"/>
      <c r="C46" s="133"/>
      <c r="D46" s="133"/>
      <c r="E46" s="134"/>
      <c r="F46" s="97"/>
      <c r="G46" s="75"/>
      <c r="H46" s="75">
        <f>'Budget Committee'!C27</f>
        <v>161645.14000000001</v>
      </c>
      <c r="I46" s="75"/>
      <c r="J46" s="96">
        <f t="shared" si="16"/>
        <v>161645.14000000001</v>
      </c>
      <c r="K46" s="75"/>
      <c r="L46" s="97">
        <f t="shared" si="19"/>
        <v>161645.14000000001</v>
      </c>
      <c r="M46" s="75"/>
      <c r="N46" s="75"/>
      <c r="O46" s="75"/>
      <c r="P46" s="75"/>
      <c r="Q46" s="75"/>
      <c r="R46" s="75"/>
      <c r="S46" s="75"/>
      <c r="T46" s="75"/>
      <c r="U46" s="115">
        <f t="shared" si="22"/>
        <v>161645.14000000001</v>
      </c>
      <c r="V46" s="132"/>
      <c r="W46" s="99"/>
      <c r="X46" s="94">
        <f t="shared" si="14"/>
        <v>161645.14000000001</v>
      </c>
      <c r="Y46" s="267">
        <f>'Budget Committee'!J27</f>
        <v>0</v>
      </c>
      <c r="Z46" s="128">
        <f t="shared" si="15"/>
        <v>161645.14000000001</v>
      </c>
      <c r="AA46" s="129"/>
    </row>
    <row r="47" spans="1:27">
      <c r="A47" s="5" t="s">
        <v>54</v>
      </c>
      <c r="B47" s="11"/>
      <c r="C47" s="133"/>
      <c r="D47" s="133"/>
      <c r="E47" s="134"/>
      <c r="F47" s="97">
        <v>0</v>
      </c>
      <c r="G47" s="75">
        <v>0</v>
      </c>
      <c r="H47" s="75">
        <f>'Budget Committee'!C28</f>
        <v>21600</v>
      </c>
      <c r="I47" s="75"/>
      <c r="J47" s="96">
        <f t="shared" si="16"/>
        <v>21600</v>
      </c>
      <c r="K47" s="75"/>
      <c r="L47" s="97">
        <f t="shared" si="19"/>
        <v>21600</v>
      </c>
      <c r="M47" s="75"/>
      <c r="N47" s="75"/>
      <c r="O47" s="75"/>
      <c r="P47" s="75"/>
      <c r="Q47" s="75"/>
      <c r="R47" s="75"/>
      <c r="S47" s="75"/>
      <c r="T47" s="75"/>
      <c r="U47" s="115">
        <f t="shared" si="22"/>
        <v>21600</v>
      </c>
      <c r="V47" s="132">
        <f>J47-U47</f>
        <v>0</v>
      </c>
      <c r="W47" s="99">
        <v>40000</v>
      </c>
      <c r="X47" s="94">
        <f t="shared" si="14"/>
        <v>21600</v>
      </c>
      <c r="Z47" s="128">
        <f t="shared" si="15"/>
        <v>21600</v>
      </c>
      <c r="AA47" s="129"/>
    </row>
    <row r="48" spans="1:27">
      <c r="A48" s="5" t="s">
        <v>55</v>
      </c>
      <c r="B48" s="11"/>
      <c r="C48" s="133"/>
      <c r="D48" s="133"/>
      <c r="E48" s="134"/>
      <c r="F48" s="97">
        <f>'Budget Committee'!C30</f>
        <v>35000</v>
      </c>
      <c r="G48" s="75"/>
      <c r="H48" s="75">
        <v>0</v>
      </c>
      <c r="I48" s="75"/>
      <c r="J48" s="96">
        <f t="shared" si="16"/>
        <v>35000</v>
      </c>
      <c r="K48" s="75"/>
      <c r="L48" s="97">
        <v>35000</v>
      </c>
      <c r="M48" s="75"/>
      <c r="N48" s="75"/>
      <c r="O48" s="75"/>
      <c r="P48" s="75"/>
      <c r="Q48" s="75"/>
      <c r="R48" s="75"/>
      <c r="S48" s="75"/>
      <c r="T48" s="75"/>
      <c r="U48" s="115">
        <f t="shared" si="22"/>
        <v>35000</v>
      </c>
      <c r="V48" s="132"/>
      <c r="W48" s="99">
        <v>5000</v>
      </c>
      <c r="X48" s="94">
        <f t="shared" si="14"/>
        <v>35000</v>
      </c>
      <c r="Z48" s="128">
        <f t="shared" si="15"/>
        <v>35000</v>
      </c>
      <c r="AA48" s="129"/>
    </row>
    <row r="49" spans="1:27" hidden="1">
      <c r="A49" s="5" t="s">
        <v>56</v>
      </c>
      <c r="B49" s="11"/>
      <c r="C49" s="133"/>
      <c r="D49" s="133"/>
      <c r="E49" s="134"/>
      <c r="F49" s="97">
        <v>0</v>
      </c>
      <c r="G49" s="75"/>
      <c r="H49" s="75">
        <v>0</v>
      </c>
      <c r="I49" s="75"/>
      <c r="J49" s="96">
        <f t="shared" si="16"/>
        <v>0</v>
      </c>
      <c r="K49" s="75"/>
      <c r="L49" s="97">
        <f t="shared" si="19"/>
        <v>0</v>
      </c>
      <c r="M49" s="75"/>
      <c r="N49" s="75"/>
      <c r="O49" s="75"/>
      <c r="P49" s="75"/>
      <c r="Q49" s="75"/>
      <c r="R49" s="75"/>
      <c r="S49" s="75">
        <v>0</v>
      </c>
      <c r="T49" s="75"/>
      <c r="U49" s="115">
        <f t="shared" si="22"/>
        <v>0</v>
      </c>
      <c r="V49" s="132"/>
      <c r="W49" s="99">
        <v>5000</v>
      </c>
      <c r="X49" s="94">
        <f t="shared" si="14"/>
        <v>0</v>
      </c>
      <c r="Z49" s="128">
        <f t="shared" si="15"/>
        <v>0</v>
      </c>
      <c r="AA49" s="129"/>
    </row>
    <row r="50" spans="1:27">
      <c r="A50" s="5" t="s">
        <v>56</v>
      </c>
      <c r="B50" s="11"/>
      <c r="C50" s="133"/>
      <c r="D50" s="133"/>
      <c r="E50" s="134"/>
      <c r="F50" s="97">
        <f>'Budget Committee'!C31</f>
        <v>100982</v>
      </c>
      <c r="G50" s="75"/>
      <c r="H50" s="75">
        <v>0</v>
      </c>
      <c r="I50" s="75"/>
      <c r="J50" s="96">
        <f>+F50+H50</f>
        <v>100982</v>
      </c>
      <c r="K50" s="75"/>
      <c r="L50" s="97">
        <f t="shared" si="19"/>
        <v>100982</v>
      </c>
      <c r="M50" s="75"/>
      <c r="N50" s="75"/>
      <c r="O50" s="75"/>
      <c r="P50" s="75"/>
      <c r="Q50" s="75"/>
      <c r="R50" s="75"/>
      <c r="S50" s="75"/>
      <c r="T50" s="75"/>
      <c r="U50" s="115">
        <f t="shared" si="22"/>
        <v>100982</v>
      </c>
      <c r="V50" s="132">
        <f>J50-U50</f>
        <v>0</v>
      </c>
      <c r="W50" s="99">
        <v>5000</v>
      </c>
      <c r="X50" s="94">
        <f t="shared" si="14"/>
        <v>100982</v>
      </c>
      <c r="Z50" s="128">
        <f t="shared" si="15"/>
        <v>100982</v>
      </c>
      <c r="AA50" s="129"/>
    </row>
    <row r="51" spans="1:27" hidden="1">
      <c r="A51" s="5" t="s">
        <v>57</v>
      </c>
      <c r="B51" s="11"/>
      <c r="C51" s="133"/>
      <c r="D51" s="133"/>
      <c r="E51" s="134"/>
      <c r="F51" s="97">
        <v>0</v>
      </c>
      <c r="G51" s="75"/>
      <c r="H51" s="75">
        <v>0</v>
      </c>
      <c r="I51" s="75"/>
      <c r="J51" s="96">
        <f>+F51+H51</f>
        <v>0</v>
      </c>
      <c r="K51" s="75"/>
      <c r="L51" s="97">
        <f t="shared" si="19"/>
        <v>0</v>
      </c>
      <c r="M51" s="75"/>
      <c r="N51" s="75"/>
      <c r="O51" s="75"/>
      <c r="P51" s="75"/>
      <c r="Q51" s="75"/>
      <c r="R51" s="75"/>
      <c r="S51" s="75"/>
      <c r="T51" s="75"/>
      <c r="U51" s="115">
        <f t="shared" si="22"/>
        <v>0</v>
      </c>
      <c r="V51" s="132">
        <f>J51-U51</f>
        <v>0</v>
      </c>
      <c r="W51" s="99">
        <v>15000</v>
      </c>
      <c r="X51" s="94">
        <f t="shared" si="14"/>
        <v>0</v>
      </c>
      <c r="Z51" s="128">
        <f t="shared" si="15"/>
        <v>0</v>
      </c>
      <c r="AA51" s="129"/>
    </row>
    <row r="52" spans="1:27" hidden="1">
      <c r="A52" s="5" t="s">
        <v>58</v>
      </c>
      <c r="B52" s="11"/>
      <c r="C52" s="135"/>
      <c r="D52" s="133"/>
      <c r="E52" s="134"/>
      <c r="F52" s="97">
        <v>0</v>
      </c>
      <c r="G52" s="75"/>
      <c r="H52" s="75">
        <v>0</v>
      </c>
      <c r="I52" s="75"/>
      <c r="J52" s="96">
        <f>+F52+H52</f>
        <v>0</v>
      </c>
      <c r="K52" s="75"/>
      <c r="L52" s="97">
        <f t="shared" si="19"/>
        <v>0</v>
      </c>
      <c r="M52" s="75"/>
      <c r="N52" s="75"/>
      <c r="O52" s="75"/>
      <c r="P52" s="75"/>
      <c r="Q52" s="75"/>
      <c r="R52" s="75"/>
      <c r="S52" s="75"/>
      <c r="T52" s="75"/>
      <c r="U52" s="115">
        <f t="shared" si="22"/>
        <v>0</v>
      </c>
      <c r="V52" s="132">
        <f>J52-U52</f>
        <v>0</v>
      </c>
      <c r="W52" s="99">
        <v>10000</v>
      </c>
      <c r="X52" s="94">
        <f t="shared" si="14"/>
        <v>0</v>
      </c>
      <c r="Z52" s="128">
        <f t="shared" si="15"/>
        <v>0</v>
      </c>
      <c r="AA52" s="129"/>
    </row>
    <row r="53" spans="1:27" hidden="1">
      <c r="A53" s="5" t="s">
        <v>59</v>
      </c>
      <c r="B53" s="11"/>
      <c r="C53" s="135"/>
      <c r="D53" s="133"/>
      <c r="E53" s="134"/>
      <c r="F53" s="97">
        <v>0</v>
      </c>
      <c r="G53" s="75"/>
      <c r="H53" s="136">
        <v>0</v>
      </c>
      <c r="I53" s="75"/>
      <c r="J53" s="96">
        <f>+H53+F53</f>
        <v>0</v>
      </c>
      <c r="K53" s="75"/>
      <c r="L53" s="97">
        <f t="shared" si="19"/>
        <v>0</v>
      </c>
      <c r="M53" s="75"/>
      <c r="N53" s="75"/>
      <c r="O53" s="75"/>
      <c r="P53" s="75"/>
      <c r="Q53" s="75"/>
      <c r="R53" s="75"/>
      <c r="S53" s="75"/>
      <c r="T53" s="75"/>
      <c r="U53" s="115">
        <f t="shared" si="22"/>
        <v>0</v>
      </c>
      <c r="V53" s="132"/>
      <c r="W53" s="99">
        <v>0</v>
      </c>
      <c r="X53" s="94">
        <f t="shared" si="14"/>
        <v>0</v>
      </c>
      <c r="Z53" s="128">
        <f t="shared" si="15"/>
        <v>0</v>
      </c>
      <c r="AA53" s="129"/>
    </row>
    <row r="54" spans="1:27" hidden="1">
      <c r="A54" s="13" t="s">
        <v>60</v>
      </c>
      <c r="B54" s="11"/>
      <c r="C54" s="135"/>
      <c r="D54" s="133"/>
      <c r="E54" s="134"/>
      <c r="F54" s="97">
        <v>0</v>
      </c>
      <c r="G54" s="75"/>
      <c r="H54" s="136">
        <v>0</v>
      </c>
      <c r="I54" s="75"/>
      <c r="J54" s="96">
        <f>+H54+F54</f>
        <v>0</v>
      </c>
      <c r="K54" s="75"/>
      <c r="L54" s="97">
        <f t="shared" si="19"/>
        <v>0</v>
      </c>
      <c r="M54" s="75"/>
      <c r="N54" s="75"/>
      <c r="O54" s="75"/>
      <c r="P54" s="75"/>
      <c r="Q54" s="75"/>
      <c r="R54" s="75"/>
      <c r="S54" s="75"/>
      <c r="T54" s="75"/>
      <c r="U54" s="115">
        <f t="shared" si="22"/>
        <v>0</v>
      </c>
      <c r="V54" s="132"/>
      <c r="W54" s="99">
        <v>0</v>
      </c>
      <c r="X54" s="94">
        <f t="shared" si="14"/>
        <v>0</v>
      </c>
      <c r="Z54" s="128">
        <f t="shared" si="15"/>
        <v>0</v>
      </c>
      <c r="AA54" s="129"/>
    </row>
    <row r="55" spans="1:27" hidden="1">
      <c r="A55" s="13" t="s">
        <v>61</v>
      </c>
      <c r="B55" s="11"/>
      <c r="C55" s="135"/>
      <c r="D55" s="133"/>
      <c r="E55" s="134"/>
      <c r="F55" s="97">
        <v>0</v>
      </c>
      <c r="G55" s="75"/>
      <c r="H55" s="136">
        <v>0</v>
      </c>
      <c r="I55" s="75"/>
      <c r="J55" s="96">
        <f t="shared" ref="J55:J71" si="23">+F55+H55</f>
        <v>0</v>
      </c>
      <c r="K55" s="75"/>
      <c r="L55" s="97">
        <f t="shared" si="19"/>
        <v>0</v>
      </c>
      <c r="M55" s="75"/>
      <c r="N55" s="75"/>
      <c r="O55" s="75"/>
      <c r="P55" s="75"/>
      <c r="Q55" s="75"/>
      <c r="R55" s="75"/>
      <c r="S55" s="75"/>
      <c r="T55" s="75"/>
      <c r="U55" s="115">
        <f t="shared" si="22"/>
        <v>0</v>
      </c>
      <c r="V55" s="132"/>
      <c r="W55" s="99">
        <v>0</v>
      </c>
      <c r="X55" s="94">
        <f t="shared" si="14"/>
        <v>0</v>
      </c>
      <c r="Z55" s="128">
        <f t="shared" si="15"/>
        <v>0</v>
      </c>
      <c r="AA55" s="129"/>
    </row>
    <row r="56" spans="1:27">
      <c r="A56" s="13" t="s">
        <v>57</v>
      </c>
      <c r="B56" s="11"/>
      <c r="C56" s="135"/>
      <c r="D56" s="133"/>
      <c r="E56" s="134"/>
      <c r="F56" s="97">
        <f>'Budget Committee'!C33</f>
        <v>5000</v>
      </c>
      <c r="G56" s="75"/>
      <c r="H56" s="75">
        <v>0</v>
      </c>
      <c r="I56" s="75"/>
      <c r="J56" s="96">
        <f t="shared" si="23"/>
        <v>5000</v>
      </c>
      <c r="K56" s="75"/>
      <c r="L56" s="97">
        <f t="shared" si="19"/>
        <v>5000</v>
      </c>
      <c r="M56" s="75"/>
      <c r="N56" s="75"/>
      <c r="O56" s="75"/>
      <c r="P56" s="75"/>
      <c r="Q56" s="75"/>
      <c r="R56" s="75"/>
      <c r="S56" s="75"/>
      <c r="T56" s="75"/>
      <c r="U56" s="115">
        <f t="shared" si="22"/>
        <v>5000</v>
      </c>
      <c r="V56" s="132"/>
      <c r="W56" s="99">
        <v>0</v>
      </c>
      <c r="X56" s="94">
        <f t="shared" si="14"/>
        <v>5000</v>
      </c>
      <c r="Z56" s="128">
        <f t="shared" si="15"/>
        <v>5000</v>
      </c>
      <c r="AA56" s="129"/>
    </row>
    <row r="57" spans="1:27" hidden="1">
      <c r="A57" s="13" t="s">
        <v>62</v>
      </c>
      <c r="B57" s="11"/>
      <c r="C57" s="135"/>
      <c r="D57" s="133"/>
      <c r="E57" s="134"/>
      <c r="F57" s="97">
        <v>0</v>
      </c>
      <c r="G57" s="75"/>
      <c r="H57" s="75">
        <v>0</v>
      </c>
      <c r="I57" s="75"/>
      <c r="J57" s="96">
        <f t="shared" si="23"/>
        <v>0</v>
      </c>
      <c r="K57" s="75"/>
      <c r="L57" s="97">
        <f t="shared" si="19"/>
        <v>0</v>
      </c>
      <c r="M57" s="75"/>
      <c r="N57" s="75"/>
      <c r="O57" s="75"/>
      <c r="P57" s="75"/>
      <c r="Q57" s="75"/>
      <c r="R57" s="75"/>
      <c r="S57" s="75"/>
      <c r="T57" s="75"/>
      <c r="U57" s="115">
        <f t="shared" si="22"/>
        <v>0</v>
      </c>
      <c r="V57" s="132"/>
      <c r="W57" s="99">
        <v>0</v>
      </c>
      <c r="X57" s="94">
        <f t="shared" si="14"/>
        <v>0</v>
      </c>
      <c r="Z57" s="128">
        <f t="shared" si="15"/>
        <v>0</v>
      </c>
      <c r="AA57" s="129"/>
    </row>
    <row r="58" spans="1:27" ht="15" hidden="1" customHeight="1">
      <c r="A58" s="13" t="s">
        <v>63</v>
      </c>
      <c r="B58" s="11"/>
      <c r="C58" s="135"/>
      <c r="D58" s="133"/>
      <c r="E58" s="134"/>
      <c r="F58" s="97">
        <v>0</v>
      </c>
      <c r="G58" s="75"/>
      <c r="H58" s="75">
        <v>0</v>
      </c>
      <c r="I58" s="75"/>
      <c r="J58" s="96">
        <f t="shared" si="23"/>
        <v>0</v>
      </c>
      <c r="K58" s="75"/>
      <c r="L58" s="97">
        <f t="shared" si="19"/>
        <v>0</v>
      </c>
      <c r="M58" s="75"/>
      <c r="N58" s="75"/>
      <c r="O58" s="75"/>
      <c r="P58" s="75"/>
      <c r="Q58" s="75"/>
      <c r="R58" s="75"/>
      <c r="S58" s="75"/>
      <c r="T58" s="75"/>
      <c r="U58" s="115">
        <f t="shared" si="22"/>
        <v>0</v>
      </c>
      <c r="V58" s="132"/>
      <c r="W58" s="99">
        <v>0</v>
      </c>
      <c r="X58" s="94">
        <f t="shared" si="14"/>
        <v>0</v>
      </c>
      <c r="Z58" s="128">
        <f t="shared" si="15"/>
        <v>0</v>
      </c>
      <c r="AA58" s="129"/>
    </row>
    <row r="59" spans="1:27" hidden="1">
      <c r="A59" s="5" t="s">
        <v>64</v>
      </c>
      <c r="B59" s="11"/>
      <c r="C59" s="133"/>
      <c r="D59" s="133"/>
      <c r="E59" s="134"/>
      <c r="F59" s="97">
        <v>0</v>
      </c>
      <c r="G59" s="75"/>
      <c r="H59" s="75"/>
      <c r="I59" s="75"/>
      <c r="J59" s="96">
        <f t="shared" si="23"/>
        <v>0</v>
      </c>
      <c r="K59" s="75"/>
      <c r="L59" s="97">
        <f t="shared" si="19"/>
        <v>0</v>
      </c>
      <c r="M59" s="75"/>
      <c r="N59" s="75"/>
      <c r="O59" s="75"/>
      <c r="P59" s="75"/>
      <c r="Q59" s="75"/>
      <c r="R59" s="75"/>
      <c r="S59" s="75"/>
      <c r="T59" s="75"/>
      <c r="U59" s="115">
        <f t="shared" si="22"/>
        <v>0</v>
      </c>
      <c r="V59" s="132">
        <f>J59-U59</f>
        <v>0</v>
      </c>
      <c r="W59" s="99">
        <v>10000</v>
      </c>
      <c r="X59" s="94">
        <f t="shared" si="14"/>
        <v>0</v>
      </c>
      <c r="Z59" s="128">
        <f t="shared" si="15"/>
        <v>0</v>
      </c>
      <c r="AA59" s="129"/>
    </row>
    <row r="60" spans="1:27" hidden="1">
      <c r="A60" s="5"/>
      <c r="B60" s="11"/>
      <c r="C60" s="133"/>
      <c r="D60" s="133"/>
      <c r="E60" s="134"/>
      <c r="F60" s="97">
        <v>0</v>
      </c>
      <c r="G60" s="75"/>
      <c r="H60" s="75"/>
      <c r="I60" s="75"/>
      <c r="J60" s="96">
        <f t="shared" si="23"/>
        <v>0</v>
      </c>
      <c r="K60" s="75"/>
      <c r="L60" s="97">
        <f t="shared" si="19"/>
        <v>0</v>
      </c>
      <c r="M60" s="75"/>
      <c r="N60" s="75"/>
      <c r="O60" s="75"/>
      <c r="P60" s="75"/>
      <c r="Q60" s="75"/>
      <c r="R60" s="75"/>
      <c r="S60" s="75"/>
      <c r="T60" s="75"/>
      <c r="U60" s="115">
        <f t="shared" si="22"/>
        <v>0</v>
      </c>
      <c r="V60" s="132"/>
      <c r="W60" s="99"/>
      <c r="X60" s="94">
        <f t="shared" si="14"/>
        <v>0</v>
      </c>
      <c r="Z60" s="128">
        <f t="shared" si="15"/>
        <v>0</v>
      </c>
      <c r="AA60" s="129"/>
    </row>
    <row r="61" spans="1:27" hidden="1">
      <c r="A61" s="5"/>
      <c r="B61" s="11"/>
      <c r="C61" s="133"/>
      <c r="D61" s="133"/>
      <c r="E61" s="134"/>
      <c r="F61" s="97"/>
      <c r="G61" s="75"/>
      <c r="H61" s="75"/>
      <c r="I61" s="75"/>
      <c r="J61" s="96">
        <f t="shared" si="23"/>
        <v>0</v>
      </c>
      <c r="K61" s="75"/>
      <c r="L61" s="97">
        <f t="shared" si="19"/>
        <v>0</v>
      </c>
      <c r="M61" s="75"/>
      <c r="N61" s="75"/>
      <c r="O61" s="75"/>
      <c r="P61" s="75"/>
      <c r="Q61" s="75"/>
      <c r="R61" s="75"/>
      <c r="S61" s="75"/>
      <c r="T61" s="75"/>
      <c r="U61" s="115">
        <f t="shared" si="22"/>
        <v>0</v>
      </c>
      <c r="V61" s="132"/>
      <c r="W61" s="99"/>
      <c r="X61" s="94">
        <f t="shared" si="14"/>
        <v>0</v>
      </c>
      <c r="Z61" s="128">
        <f t="shared" si="15"/>
        <v>0</v>
      </c>
      <c r="AA61" s="129"/>
    </row>
    <row r="62" spans="1:27" hidden="1">
      <c r="A62" s="15"/>
      <c r="B62" s="11"/>
      <c r="C62" s="133"/>
      <c r="D62" s="133"/>
      <c r="E62" s="134"/>
      <c r="F62" s="97">
        <v>0</v>
      </c>
      <c r="G62" s="75"/>
      <c r="H62" s="75"/>
      <c r="I62" s="75"/>
      <c r="J62" s="96">
        <f t="shared" si="23"/>
        <v>0</v>
      </c>
      <c r="K62" s="75"/>
      <c r="L62" s="97">
        <f t="shared" si="19"/>
        <v>0</v>
      </c>
      <c r="M62" s="75"/>
      <c r="N62" s="75"/>
      <c r="O62" s="75"/>
      <c r="P62" s="75"/>
      <c r="Q62" s="75"/>
      <c r="R62" s="75"/>
      <c r="S62" s="75"/>
      <c r="T62" s="75"/>
      <c r="U62" s="115">
        <f t="shared" si="22"/>
        <v>0</v>
      </c>
      <c r="V62" s="132">
        <f>J62-U62</f>
        <v>0</v>
      </c>
      <c r="W62" s="99">
        <v>0</v>
      </c>
      <c r="X62" s="94">
        <f t="shared" si="14"/>
        <v>0</v>
      </c>
      <c r="Z62" s="128">
        <f t="shared" si="15"/>
        <v>0</v>
      </c>
      <c r="AA62" s="129"/>
    </row>
    <row r="63" spans="1:27" hidden="1">
      <c r="A63" s="5"/>
      <c r="B63" s="11"/>
      <c r="C63" s="133"/>
      <c r="D63" s="133"/>
      <c r="E63" s="134"/>
      <c r="F63" s="97"/>
      <c r="G63" s="75"/>
      <c r="H63" s="75"/>
      <c r="I63" s="75"/>
      <c r="J63" s="96">
        <f t="shared" si="23"/>
        <v>0</v>
      </c>
      <c r="K63" s="75"/>
      <c r="L63" s="97">
        <f t="shared" si="19"/>
        <v>0</v>
      </c>
      <c r="M63" s="75"/>
      <c r="N63" s="75"/>
      <c r="O63" s="75"/>
      <c r="P63" s="75"/>
      <c r="Q63" s="75"/>
      <c r="R63" s="75"/>
      <c r="S63" s="75"/>
      <c r="T63" s="75"/>
      <c r="U63" s="115">
        <f t="shared" si="22"/>
        <v>0</v>
      </c>
      <c r="V63" s="132"/>
      <c r="W63" s="99"/>
      <c r="X63" s="94">
        <f t="shared" si="14"/>
        <v>0</v>
      </c>
      <c r="Z63" s="128">
        <f t="shared" si="15"/>
        <v>0</v>
      </c>
      <c r="AA63" s="129"/>
    </row>
    <row r="64" spans="1:27" hidden="1">
      <c r="A64" s="5"/>
      <c r="B64" s="11"/>
      <c r="C64" s="133"/>
      <c r="D64" s="133"/>
      <c r="E64" s="134"/>
      <c r="F64" s="97"/>
      <c r="G64" s="75"/>
      <c r="H64" s="75"/>
      <c r="I64" s="75"/>
      <c r="J64" s="96">
        <f t="shared" si="23"/>
        <v>0</v>
      </c>
      <c r="K64" s="75"/>
      <c r="L64" s="97">
        <f t="shared" si="19"/>
        <v>0</v>
      </c>
      <c r="M64" s="75"/>
      <c r="N64" s="75"/>
      <c r="O64" s="75"/>
      <c r="P64" s="75"/>
      <c r="Q64" s="75"/>
      <c r="R64" s="75"/>
      <c r="S64" s="75"/>
      <c r="T64" s="75"/>
      <c r="U64" s="115">
        <f t="shared" si="22"/>
        <v>0</v>
      </c>
      <c r="V64" s="132"/>
      <c r="W64" s="99"/>
      <c r="X64" s="94">
        <f t="shared" si="14"/>
        <v>0</v>
      </c>
      <c r="Z64" s="128">
        <f t="shared" si="15"/>
        <v>0</v>
      </c>
      <c r="AA64" s="129"/>
    </row>
    <row r="65" spans="1:27" hidden="1">
      <c r="A65" s="5"/>
      <c r="B65" s="11"/>
      <c r="C65" s="133"/>
      <c r="D65" s="133"/>
      <c r="E65" s="134"/>
      <c r="F65" s="97"/>
      <c r="G65" s="75"/>
      <c r="H65" s="75"/>
      <c r="I65" s="75"/>
      <c r="J65" s="96">
        <f t="shared" si="23"/>
        <v>0</v>
      </c>
      <c r="K65" s="75"/>
      <c r="L65" s="97">
        <f t="shared" si="19"/>
        <v>0</v>
      </c>
      <c r="M65" s="75"/>
      <c r="N65" s="75"/>
      <c r="O65" s="75"/>
      <c r="P65" s="75"/>
      <c r="Q65" s="75"/>
      <c r="R65" s="75"/>
      <c r="S65" s="75"/>
      <c r="T65" s="75"/>
      <c r="U65" s="115">
        <f t="shared" si="22"/>
        <v>0</v>
      </c>
      <c r="V65" s="132"/>
      <c r="W65" s="99"/>
      <c r="X65" s="94">
        <f t="shared" si="14"/>
        <v>0</v>
      </c>
      <c r="Z65" s="128">
        <f t="shared" si="15"/>
        <v>0</v>
      </c>
      <c r="AA65" s="129"/>
    </row>
    <row r="66" spans="1:27" hidden="1">
      <c r="A66" s="5"/>
      <c r="B66" s="11"/>
      <c r="C66" s="133"/>
      <c r="D66" s="133"/>
      <c r="E66" s="134"/>
      <c r="F66" s="97"/>
      <c r="G66" s="75"/>
      <c r="H66" s="75"/>
      <c r="I66" s="75"/>
      <c r="J66" s="96">
        <f t="shared" si="23"/>
        <v>0</v>
      </c>
      <c r="K66" s="75"/>
      <c r="L66" s="97">
        <f t="shared" si="19"/>
        <v>0</v>
      </c>
      <c r="M66" s="75"/>
      <c r="N66" s="75"/>
      <c r="O66" s="75"/>
      <c r="P66" s="75"/>
      <c r="Q66" s="75"/>
      <c r="R66" s="75"/>
      <c r="S66" s="75"/>
      <c r="T66" s="75"/>
      <c r="U66" s="115">
        <f t="shared" si="22"/>
        <v>0</v>
      </c>
      <c r="V66" s="132"/>
      <c r="W66" s="99"/>
      <c r="X66" s="94">
        <f t="shared" si="14"/>
        <v>0</v>
      </c>
      <c r="Z66" s="128">
        <f t="shared" si="15"/>
        <v>0</v>
      </c>
      <c r="AA66" s="129"/>
    </row>
    <row r="67" spans="1:27" hidden="1">
      <c r="A67" s="5"/>
      <c r="B67" s="11"/>
      <c r="C67" s="133"/>
      <c r="D67" s="133"/>
      <c r="E67" s="134"/>
      <c r="F67" s="97"/>
      <c r="G67" s="75"/>
      <c r="H67" s="75"/>
      <c r="I67" s="75"/>
      <c r="J67" s="96">
        <f t="shared" si="23"/>
        <v>0</v>
      </c>
      <c r="K67" s="75"/>
      <c r="L67" s="97">
        <f t="shared" si="19"/>
        <v>0</v>
      </c>
      <c r="M67" s="75"/>
      <c r="N67" s="75"/>
      <c r="O67" s="75"/>
      <c r="P67" s="75"/>
      <c r="Q67" s="75"/>
      <c r="R67" s="75"/>
      <c r="S67" s="75"/>
      <c r="T67" s="75"/>
      <c r="U67" s="115">
        <f t="shared" si="22"/>
        <v>0</v>
      </c>
      <c r="V67" s="132"/>
      <c r="W67" s="99"/>
      <c r="X67" s="94">
        <f t="shared" si="14"/>
        <v>0</v>
      </c>
      <c r="Z67" s="128">
        <f t="shared" si="15"/>
        <v>0</v>
      </c>
      <c r="AA67" s="129"/>
    </row>
    <row r="68" spans="1:27" hidden="1">
      <c r="A68" s="5"/>
      <c r="B68" s="11"/>
      <c r="C68" s="133"/>
      <c r="D68" s="133"/>
      <c r="E68" s="134"/>
      <c r="F68" s="97"/>
      <c r="G68" s="75"/>
      <c r="H68" s="75"/>
      <c r="I68" s="75"/>
      <c r="J68" s="96">
        <f t="shared" si="23"/>
        <v>0</v>
      </c>
      <c r="K68" s="75"/>
      <c r="L68" s="97">
        <f t="shared" si="19"/>
        <v>0</v>
      </c>
      <c r="M68" s="75"/>
      <c r="N68" s="75"/>
      <c r="O68" s="75"/>
      <c r="P68" s="75"/>
      <c r="Q68" s="75"/>
      <c r="R68" s="75"/>
      <c r="S68" s="75"/>
      <c r="T68" s="75"/>
      <c r="U68" s="115">
        <f t="shared" si="22"/>
        <v>0</v>
      </c>
      <c r="V68" s="132"/>
      <c r="W68" s="99"/>
      <c r="X68" s="94">
        <f t="shared" si="14"/>
        <v>0</v>
      </c>
      <c r="Z68" s="128">
        <f t="shared" si="15"/>
        <v>0</v>
      </c>
      <c r="AA68" s="129"/>
    </row>
    <row r="69" spans="1:27" hidden="1">
      <c r="A69" s="13"/>
      <c r="B69" s="11"/>
      <c r="C69" s="133"/>
      <c r="D69" s="133"/>
      <c r="E69" s="134"/>
      <c r="F69" s="97"/>
      <c r="G69" s="75"/>
      <c r="H69" s="75"/>
      <c r="I69" s="75"/>
      <c r="J69" s="96">
        <f t="shared" si="23"/>
        <v>0</v>
      </c>
      <c r="K69" s="75"/>
      <c r="L69" s="97">
        <f t="shared" si="19"/>
        <v>0</v>
      </c>
      <c r="M69" s="75"/>
      <c r="N69" s="75"/>
      <c r="O69" s="75"/>
      <c r="P69" s="75"/>
      <c r="Q69" s="75"/>
      <c r="R69" s="75"/>
      <c r="S69" s="75"/>
      <c r="T69" s="75"/>
      <c r="U69" s="115">
        <f t="shared" si="22"/>
        <v>0</v>
      </c>
      <c r="V69" s="132"/>
      <c r="W69" s="99"/>
      <c r="X69" s="94">
        <f t="shared" si="14"/>
        <v>0</v>
      </c>
      <c r="Z69" s="128">
        <f t="shared" si="15"/>
        <v>0</v>
      </c>
      <c r="AA69" s="129"/>
    </row>
    <row r="70" spans="1:27" hidden="1">
      <c r="A70" s="13"/>
      <c r="B70" s="11"/>
      <c r="C70" s="133"/>
      <c r="D70" s="133"/>
      <c r="E70" s="134"/>
      <c r="F70" s="97"/>
      <c r="G70" s="75"/>
      <c r="H70" s="75"/>
      <c r="I70" s="75"/>
      <c r="J70" s="96">
        <f t="shared" si="23"/>
        <v>0</v>
      </c>
      <c r="K70" s="75"/>
      <c r="L70" s="97">
        <f t="shared" si="19"/>
        <v>0</v>
      </c>
      <c r="M70" s="75"/>
      <c r="N70" s="75"/>
      <c r="O70" s="75"/>
      <c r="P70" s="75"/>
      <c r="Q70" s="75"/>
      <c r="R70" s="75"/>
      <c r="S70" s="75"/>
      <c r="T70" s="75"/>
      <c r="U70" s="115">
        <f t="shared" si="22"/>
        <v>0</v>
      </c>
      <c r="V70" s="132"/>
      <c r="W70" s="99"/>
      <c r="X70" s="94">
        <f t="shared" si="14"/>
        <v>0</v>
      </c>
      <c r="Z70" s="128">
        <f t="shared" si="15"/>
        <v>0</v>
      </c>
      <c r="AA70" s="129"/>
    </row>
    <row r="71" spans="1:27">
      <c r="A71" s="13" t="s">
        <v>65</v>
      </c>
      <c r="B71" s="11"/>
      <c r="C71" s="133"/>
      <c r="D71" s="133"/>
      <c r="E71" s="134"/>
      <c r="F71" s="97">
        <f>'Budget Committee'!C39</f>
        <v>20000</v>
      </c>
      <c r="G71" s="75"/>
      <c r="H71" s="75"/>
      <c r="I71" s="75"/>
      <c r="J71" s="96">
        <f t="shared" si="23"/>
        <v>20000</v>
      </c>
      <c r="K71" s="75"/>
      <c r="L71" s="97">
        <f t="shared" si="19"/>
        <v>20000</v>
      </c>
      <c r="M71" s="75"/>
      <c r="N71" s="75"/>
      <c r="O71" s="75"/>
      <c r="P71" s="75"/>
      <c r="Q71" s="75"/>
      <c r="R71" s="75"/>
      <c r="S71" s="75"/>
      <c r="T71" s="75"/>
      <c r="U71" s="115">
        <f>SUM(L71:T71)</f>
        <v>20000</v>
      </c>
      <c r="V71" s="132"/>
      <c r="W71" s="99"/>
      <c r="X71" s="94">
        <f>U71</f>
        <v>20000</v>
      </c>
      <c r="Z71" s="128">
        <f t="shared" si="15"/>
        <v>20000</v>
      </c>
      <c r="AA71" s="129"/>
    </row>
    <row r="72" spans="1:27">
      <c r="A72" s="13" t="s">
        <v>66</v>
      </c>
      <c r="B72" s="11"/>
      <c r="C72" s="133"/>
      <c r="D72" s="133"/>
      <c r="E72" s="134"/>
      <c r="F72" s="97"/>
      <c r="G72" s="75"/>
      <c r="H72" s="75"/>
      <c r="I72" s="75"/>
      <c r="J72" s="96"/>
      <c r="K72" s="75"/>
      <c r="L72" s="97">
        <v>0</v>
      </c>
      <c r="M72" s="75">
        <v>0</v>
      </c>
      <c r="N72" s="75">
        <f>'Child Ctr'!G13-'Child Ctr'!G11</f>
        <v>0</v>
      </c>
      <c r="O72" s="75">
        <f>'Study Away'!G14-'Study Away'!G11</f>
        <v>0</v>
      </c>
      <c r="P72" s="75">
        <f>'Game Room'!G20-'Game Room'!G13</f>
        <v>0</v>
      </c>
      <c r="Q72" s="75">
        <f>'Radio Station'!G22-'Radio Station'!G12</f>
        <v>0</v>
      </c>
      <c r="R72" s="75">
        <f>'A.P.A.F.'!H17-'A.P.A.F.'!H11</f>
        <v>0</v>
      </c>
      <c r="S72" s="75">
        <v>0</v>
      </c>
      <c r="T72" s="75">
        <v>0</v>
      </c>
      <c r="U72" s="115">
        <f>SUM(L72:T72)</f>
        <v>0</v>
      </c>
      <c r="V72" s="132"/>
      <c r="W72" s="99"/>
      <c r="X72" s="94">
        <f>U72</f>
        <v>0</v>
      </c>
      <c r="Z72" s="128">
        <f t="shared" si="15"/>
        <v>0</v>
      </c>
      <c r="AA72" s="129"/>
    </row>
    <row r="73" spans="1:27">
      <c r="A73" s="78" t="s">
        <v>67</v>
      </c>
      <c r="B73" s="11"/>
      <c r="C73" s="133"/>
      <c r="D73" s="133"/>
      <c r="E73" s="134"/>
      <c r="F73" s="137">
        <f>SUM(F31:G71)</f>
        <v>309282</v>
      </c>
      <c r="G73" s="138"/>
      <c r="H73" s="139">
        <f>SUM(H31:H71)</f>
        <v>211395.14</v>
      </c>
      <c r="I73" s="138"/>
      <c r="J73" s="140">
        <f>SUM(J31:J71)</f>
        <v>520677.14</v>
      </c>
      <c r="K73" s="138"/>
      <c r="L73" s="137">
        <f>SUM(L31:L72)</f>
        <v>464677.14</v>
      </c>
      <c r="M73" s="138">
        <f>SUM(M23:M72)</f>
        <v>224200</v>
      </c>
      <c r="N73" s="138">
        <f>SUM(N23:N72)</f>
        <v>44210</v>
      </c>
      <c r="O73" s="138">
        <f t="shared" ref="O73:T73" si="24">SUM(O23:O72)</f>
        <v>32302</v>
      </c>
      <c r="P73" s="138">
        <f>SUM(P23:P72)</f>
        <v>26486</v>
      </c>
      <c r="Q73" s="138">
        <f>SUM(Q23:Q72)</f>
        <v>60699</v>
      </c>
      <c r="R73" s="138">
        <f t="shared" si="24"/>
        <v>17724</v>
      </c>
      <c r="S73" s="138">
        <f t="shared" si="24"/>
        <v>278152</v>
      </c>
      <c r="T73" s="138">
        <f t="shared" si="24"/>
        <v>39257</v>
      </c>
      <c r="U73" s="138">
        <f>SUM(U23:U72)</f>
        <v>1187707.1400000001</v>
      </c>
      <c r="V73" s="94">
        <f>SUM(V31:V62)</f>
        <v>0</v>
      </c>
      <c r="W73" s="141">
        <f>SUM(W23:W72)</f>
        <v>206206</v>
      </c>
      <c r="X73" s="106">
        <f>SUM(X23:X72)</f>
        <v>1187707.1400000001</v>
      </c>
      <c r="Y73" s="271">
        <f>SUM(Y23:Y72)</f>
        <v>408193.18</v>
      </c>
      <c r="Z73" s="106">
        <f>SUM(Z23:Z72)</f>
        <v>779513.96</v>
      </c>
    </row>
    <row r="74" spans="1:27">
      <c r="A74" s="100" t="s">
        <v>68</v>
      </c>
      <c r="B74" s="12"/>
      <c r="C74" s="142"/>
      <c r="D74" s="143"/>
      <c r="E74" s="144"/>
      <c r="F74" s="103">
        <f>+F20-F73</f>
        <v>311747.08499999996</v>
      </c>
      <c r="G74" s="104"/>
      <c r="H74" s="104">
        <f>+H20-H73</f>
        <v>302724.20999999996</v>
      </c>
      <c r="I74" s="104"/>
      <c r="J74" s="105">
        <f>+J20-J73</f>
        <v>614471.29500000004</v>
      </c>
      <c r="K74" s="120"/>
      <c r="L74" s="122">
        <f t="shared" ref="L74:T74" si="25">L20-L73</f>
        <v>3442.1849999999977</v>
      </c>
      <c r="M74" s="123">
        <f t="shared" si="25"/>
        <v>-24199.700000000012</v>
      </c>
      <c r="N74" s="123">
        <f t="shared" si="25"/>
        <v>-5900.5</v>
      </c>
      <c r="O74" s="123">
        <f t="shared" si="25"/>
        <v>-4299.5999999999985</v>
      </c>
      <c r="P74" s="123">
        <f t="shared" si="25"/>
        <v>-3500.3000000000029</v>
      </c>
      <c r="Q74" s="123">
        <f t="shared" si="25"/>
        <v>-4700.4000000000015</v>
      </c>
      <c r="R74" s="123">
        <f t="shared" si="25"/>
        <v>-2400.2000000000007</v>
      </c>
      <c r="S74" s="123">
        <f t="shared" si="25"/>
        <v>-7100.390000000014</v>
      </c>
      <c r="T74" s="123">
        <f t="shared" si="25"/>
        <v>-3899.8000000000029</v>
      </c>
      <c r="U74" s="145">
        <f>+U20-U73</f>
        <v>-52558.705000000075</v>
      </c>
      <c r="V74" s="138">
        <f>V20-V73</f>
        <v>0</v>
      </c>
      <c r="W74" s="141">
        <f>+W20-W73</f>
        <v>595929</v>
      </c>
      <c r="X74" s="146">
        <f>U74</f>
        <v>-52558.705000000075</v>
      </c>
      <c r="Y74" s="272">
        <f>V74</f>
        <v>0</v>
      </c>
      <c r="Z74" s="146">
        <f>X74-Y74</f>
        <v>-52558.705000000075</v>
      </c>
      <c r="AA74" s="94"/>
    </row>
    <row r="75" spans="1:27">
      <c r="A75" s="108" t="s">
        <v>69</v>
      </c>
      <c r="B75" s="101"/>
      <c r="C75" s="147"/>
      <c r="D75" s="148"/>
      <c r="E75" s="149"/>
      <c r="F75" s="150">
        <f t="shared" ref="F75:W75" si="26">+F73+F74</f>
        <v>621029.08499999996</v>
      </c>
      <c r="G75" s="151">
        <f t="shared" si="26"/>
        <v>0</v>
      </c>
      <c r="H75" s="151">
        <f t="shared" si="26"/>
        <v>514119.35</v>
      </c>
      <c r="I75" s="151">
        <f t="shared" si="26"/>
        <v>0</v>
      </c>
      <c r="J75" s="152">
        <f t="shared" si="26"/>
        <v>1135148.4350000001</v>
      </c>
      <c r="K75" s="146">
        <f t="shared" si="26"/>
        <v>0</v>
      </c>
      <c r="L75" s="217">
        <f t="shared" si="26"/>
        <v>468119.32500000001</v>
      </c>
      <c r="M75" s="245">
        <f t="shared" si="26"/>
        <v>200000.3</v>
      </c>
      <c r="N75" s="245">
        <f t="shared" si="26"/>
        <v>38309.5</v>
      </c>
      <c r="O75" s="245">
        <f t="shared" si="26"/>
        <v>28002.400000000001</v>
      </c>
      <c r="P75" s="245">
        <f t="shared" si="26"/>
        <v>22985.699999999997</v>
      </c>
      <c r="Q75" s="245">
        <f t="shared" si="26"/>
        <v>55998.6</v>
      </c>
      <c r="R75" s="245">
        <f t="shared" si="26"/>
        <v>15323.8</v>
      </c>
      <c r="S75" s="245">
        <f t="shared" si="26"/>
        <v>271051.61</v>
      </c>
      <c r="T75" s="245">
        <f t="shared" si="26"/>
        <v>35357.199999999997</v>
      </c>
      <c r="U75" s="152">
        <f t="shared" si="26"/>
        <v>1135148.4350000001</v>
      </c>
      <c r="V75" s="153">
        <f t="shared" si="26"/>
        <v>0</v>
      </c>
      <c r="W75" s="154">
        <f t="shared" si="26"/>
        <v>802135</v>
      </c>
      <c r="X75" s="106">
        <f>X74+X73</f>
        <v>1135148.4350000001</v>
      </c>
      <c r="Y75" s="269">
        <f t="shared" ref="Y75" si="27">Y74+Y73</f>
        <v>408193.18</v>
      </c>
      <c r="Z75" s="106">
        <f>Z74+Z73</f>
        <v>726955.25499999989</v>
      </c>
      <c r="AA75" s="94"/>
    </row>
    <row r="76" spans="1:27" hidden="1">
      <c r="A76" s="9" t="s">
        <v>69</v>
      </c>
      <c r="F76" s="94">
        <f>SUM(F73:F75)</f>
        <v>1242058.17</v>
      </c>
      <c r="H76" s="94">
        <f t="shared" ref="H76:T76" si="28">SUM(H73:H75)</f>
        <v>1028238.7</v>
      </c>
      <c r="I76" s="94">
        <f t="shared" si="28"/>
        <v>0</v>
      </c>
      <c r="J76" s="94">
        <f t="shared" si="28"/>
        <v>2270296.87</v>
      </c>
      <c r="K76" s="94">
        <f t="shared" si="28"/>
        <v>0</v>
      </c>
      <c r="L76" s="94">
        <f t="shared" si="28"/>
        <v>936238.65</v>
      </c>
      <c r="M76" s="94">
        <f t="shared" si="28"/>
        <v>400000.6</v>
      </c>
      <c r="N76" s="94">
        <f t="shared" si="28"/>
        <v>76619</v>
      </c>
      <c r="O76" s="94">
        <f t="shared" si="28"/>
        <v>56004.800000000003</v>
      </c>
      <c r="P76" s="94">
        <f t="shared" si="28"/>
        <v>45971.399999999994</v>
      </c>
      <c r="Q76" s="94">
        <f t="shared" si="28"/>
        <v>111997.2</v>
      </c>
      <c r="R76" s="94">
        <f t="shared" si="28"/>
        <v>30647.599999999999</v>
      </c>
      <c r="S76" s="94">
        <f t="shared" si="28"/>
        <v>542103.22</v>
      </c>
      <c r="T76" s="94">
        <f t="shared" si="28"/>
        <v>70714.399999999994</v>
      </c>
      <c r="U76" s="94">
        <f>SUM(L76:T76)</f>
        <v>2270296.8699999996</v>
      </c>
    </row>
    <row r="77" spans="1:27" s="156" customFormat="1" hidden="1">
      <c r="A77" s="78"/>
      <c r="B77" s="155"/>
      <c r="F77" s="157"/>
      <c r="L77" s="157"/>
      <c r="S77" s="157"/>
      <c r="U77" s="157">
        <f>SUM(L74:T74)</f>
        <v>-52558.705000000031</v>
      </c>
      <c r="Y77" s="273"/>
    </row>
    <row r="78" spans="1:27" ht="15" customHeight="1">
      <c r="A78" s="158"/>
      <c r="L78" s="94"/>
      <c r="M78" s="94"/>
      <c r="N78" s="94"/>
      <c r="O78" s="94"/>
      <c r="P78" s="94"/>
      <c r="Q78" s="94"/>
      <c r="R78" s="94"/>
      <c r="S78" s="94"/>
      <c r="T78" s="94"/>
      <c r="U78" s="94"/>
    </row>
    <row r="79" spans="1:27" ht="15.75" thickBot="1">
      <c r="A79" s="76"/>
      <c r="B79" s="159"/>
      <c r="H79" s="94"/>
      <c r="J79" s="94"/>
      <c r="L79" s="99"/>
      <c r="M79" s="99"/>
      <c r="N79" s="99"/>
      <c r="O79" s="99"/>
      <c r="P79" s="99"/>
      <c r="Q79" s="99"/>
      <c r="R79" s="99"/>
      <c r="S79" s="99"/>
      <c r="T79" s="99"/>
      <c r="U79" s="99"/>
    </row>
    <row r="80" spans="1:27">
      <c r="A80" s="247" t="s">
        <v>70</v>
      </c>
      <c r="B80" s="248"/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50">
        <v>989570</v>
      </c>
    </row>
    <row r="81" spans="1:25" s="160" customFormat="1">
      <c r="A81" s="57" t="s">
        <v>71</v>
      </c>
      <c r="B81" s="251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3">
        <f>-X19</f>
        <v>-615101.35</v>
      </c>
      <c r="Y81" s="274"/>
    </row>
    <row r="82" spans="1:25">
      <c r="A82" s="254" t="s">
        <v>72</v>
      </c>
      <c r="B82" s="251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3">
        <f>X74</f>
        <v>-52558.705000000075</v>
      </c>
    </row>
    <row r="83" spans="1:25" ht="15.75" thickBot="1">
      <c r="A83" s="255" t="s">
        <v>73</v>
      </c>
      <c r="B83" s="256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257">
        <f>X80+X81+X82</f>
        <v>321909.94499999995</v>
      </c>
    </row>
    <row r="86" spans="1:25">
      <c r="A86" s="258" t="s">
        <v>74</v>
      </c>
    </row>
    <row r="87" spans="1:25" ht="30">
      <c r="A87" s="259" t="s">
        <v>75</v>
      </c>
    </row>
  </sheetData>
  <mergeCells count="3">
    <mergeCell ref="A1:U1"/>
    <mergeCell ref="A2:U2"/>
    <mergeCell ref="A3:U3"/>
  </mergeCells>
  <printOptions horizontalCentered="1"/>
  <pageMargins left="0.2" right="0.2" top="0.5" bottom="0.2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A24E-79D3-44B1-8281-EC275BF564EF}">
  <sheetPr>
    <tabColor rgb="FFFFFF00"/>
  </sheetPr>
  <dimension ref="A1:V34"/>
  <sheetViews>
    <sheetView workbookViewId="0">
      <selection activeCell="K10" sqref="K10"/>
    </sheetView>
  </sheetViews>
  <sheetFormatPr defaultRowHeight="15.95" customHeight="1"/>
  <cols>
    <col min="1" max="1" width="41.85546875" bestFit="1" customWidth="1"/>
    <col min="2" max="2" width="7.85546875" hidden="1" customWidth="1"/>
    <col min="3" max="3" width="1.7109375" customWidth="1"/>
    <col min="4" max="4" width="11.28515625" customWidth="1"/>
    <col min="5" max="5" width="1.7109375" customWidth="1"/>
    <col min="6" max="6" width="11.5703125" customWidth="1"/>
    <col min="7" max="7" width="1.7109375" customWidth="1"/>
    <col min="8" max="8" width="11.85546875" customWidth="1"/>
    <col min="9" max="9" width="1.7109375" customWidth="1"/>
    <col min="10" max="11" width="14.28515625" customWidth="1"/>
    <col min="12" max="12" width="1.7109375" customWidth="1"/>
    <col min="13" max="13" width="10.140625" customWidth="1"/>
    <col min="15" max="15" width="12.85546875" customWidth="1"/>
    <col min="16" max="16" width="12.42578125" customWidth="1"/>
  </cols>
  <sheetData>
    <row r="1" spans="1:22" ht="15.95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22" ht="15.95" customHeight="1">
      <c r="A2" s="278" t="s">
        <v>146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22" ht="15.95" customHeight="1">
      <c r="A3" s="278" t="s">
        <v>126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22" ht="15.9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22" ht="15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2" ht="15.95" customHeight="1" thickBot="1">
      <c r="A6" s="218"/>
      <c r="B6" s="219"/>
      <c r="C6" s="219"/>
      <c r="D6" s="220" t="s">
        <v>7</v>
      </c>
      <c r="E6" s="221"/>
      <c r="F6" s="220" t="s">
        <v>8</v>
      </c>
      <c r="G6" s="221"/>
      <c r="H6" s="220" t="s">
        <v>9</v>
      </c>
      <c r="I6" s="221"/>
      <c r="J6" s="45" t="s">
        <v>78</v>
      </c>
      <c r="K6" s="45" t="s">
        <v>131</v>
      </c>
      <c r="L6" s="46"/>
      <c r="M6" s="220" t="s">
        <v>80</v>
      </c>
      <c r="N6" s="222"/>
    </row>
    <row r="7" spans="1:22" ht="15.95" customHeight="1">
      <c r="A7" s="222" t="s">
        <v>25</v>
      </c>
      <c r="B7" s="222"/>
      <c r="C7" s="222"/>
      <c r="D7" s="223">
        <f>Referendums!E92</f>
        <v>24408.6</v>
      </c>
      <c r="E7" s="224"/>
      <c r="F7" s="223">
        <v>0</v>
      </c>
      <c r="G7" s="224"/>
      <c r="H7" s="225">
        <f>+D7+F7</f>
        <v>24408.6</v>
      </c>
      <c r="I7" s="224"/>
      <c r="J7" s="226"/>
      <c r="K7" s="231"/>
      <c r="L7" s="227"/>
      <c r="M7" s="225">
        <f>H7-J7-K7</f>
        <v>24408.6</v>
      </c>
    </row>
    <row r="8" spans="1:22" ht="15.95" customHeight="1">
      <c r="A8" s="222" t="s">
        <v>28</v>
      </c>
      <c r="B8" s="222"/>
      <c r="C8" s="222"/>
      <c r="D8" s="223">
        <f>Referendums!E96</f>
        <v>21562.799999999999</v>
      </c>
      <c r="E8" s="224"/>
      <c r="F8" s="223">
        <v>0</v>
      </c>
      <c r="G8" s="224"/>
      <c r="H8" s="225">
        <f t="shared" ref="H8:H9" si="0">+D8+F8</f>
        <v>21562.799999999999</v>
      </c>
      <c r="I8" s="224"/>
      <c r="J8" s="226"/>
      <c r="K8" s="231"/>
      <c r="L8" s="227"/>
      <c r="M8" s="225">
        <f t="shared" ref="M8:M9" si="1">H8-J8-K8</f>
        <v>21562.799999999999</v>
      </c>
      <c r="P8" s="4"/>
    </row>
    <row r="9" spans="1:22" ht="15.95" customHeight="1">
      <c r="A9" s="222" t="s">
        <v>147</v>
      </c>
      <c r="B9" s="222"/>
      <c r="C9" s="222"/>
      <c r="D9" s="223">
        <v>0</v>
      </c>
      <c r="E9" s="224"/>
      <c r="F9" s="223">
        <f>'Allocation '!S19</f>
        <v>225080.21</v>
      </c>
      <c r="G9" s="224"/>
      <c r="H9" s="225">
        <f t="shared" si="0"/>
        <v>225080.21</v>
      </c>
      <c r="I9" s="224"/>
      <c r="J9" s="226"/>
      <c r="K9" s="231"/>
      <c r="L9" s="227"/>
      <c r="M9" s="225">
        <f t="shared" si="1"/>
        <v>225080.21</v>
      </c>
    </row>
    <row r="10" spans="1:22" ht="15.95" customHeight="1">
      <c r="A10" s="228" t="s">
        <v>32</v>
      </c>
      <c r="B10" s="228"/>
      <c r="C10" s="222"/>
      <c r="D10" s="229">
        <f>SUM(D7:D9)</f>
        <v>45971.399999999994</v>
      </c>
      <c r="E10" s="224"/>
      <c r="F10" s="229">
        <f>SUM(F7:F9)</f>
        <v>225080.21</v>
      </c>
      <c r="G10" s="224"/>
      <c r="H10" s="229">
        <f>SUM(H7:H9)</f>
        <v>271051.61</v>
      </c>
      <c r="I10" s="224"/>
      <c r="J10" s="226"/>
      <c r="K10" s="226"/>
      <c r="L10" s="227"/>
      <c r="M10" s="229">
        <f>SUM(M7:M9)</f>
        <v>271051.61</v>
      </c>
    </row>
    <row r="11" spans="1:22" ht="15.95" customHeight="1">
      <c r="A11" s="228"/>
      <c r="B11" s="228"/>
      <c r="C11" s="222"/>
      <c r="D11" s="224"/>
      <c r="E11" s="224"/>
      <c r="F11" s="224"/>
      <c r="G11" s="224"/>
      <c r="H11" s="227"/>
      <c r="I11" s="224"/>
      <c r="J11" s="224"/>
      <c r="K11" s="227"/>
      <c r="L11" s="227"/>
      <c r="M11" s="227"/>
      <c r="N11" s="222"/>
      <c r="V11" s="225"/>
    </row>
    <row r="12" spans="1:22" ht="18" customHeight="1">
      <c r="A12" s="5" t="s">
        <v>148</v>
      </c>
      <c r="B12" s="5"/>
      <c r="C12" s="222"/>
      <c r="D12" s="223">
        <v>7100</v>
      </c>
      <c r="E12" s="224"/>
      <c r="F12" s="223">
        <v>0</v>
      </c>
      <c r="G12" s="224"/>
      <c r="H12" s="225">
        <f t="shared" ref="H12:H23" si="2">D12+F12</f>
        <v>7100</v>
      </c>
      <c r="I12" s="224"/>
      <c r="J12" s="224">
        <v>0</v>
      </c>
      <c r="K12" s="225">
        <v>0</v>
      </c>
      <c r="L12" s="227"/>
      <c r="M12" s="225">
        <f>H12-J12-K12</f>
        <v>7100</v>
      </c>
      <c r="N12" s="232"/>
      <c r="V12" s="225"/>
    </row>
    <row r="13" spans="1:22" ht="18" customHeight="1">
      <c r="A13" s="5" t="s">
        <v>149</v>
      </c>
      <c r="B13" s="240" t="s">
        <v>150</v>
      </c>
      <c r="C13" s="222"/>
      <c r="D13" s="223">
        <v>2800</v>
      </c>
      <c r="E13" s="224"/>
      <c r="F13" s="223">
        <v>0</v>
      </c>
      <c r="G13" s="224"/>
      <c r="H13" s="225">
        <f t="shared" si="2"/>
        <v>2800</v>
      </c>
      <c r="I13" s="224"/>
      <c r="J13" s="224">
        <v>0</v>
      </c>
      <c r="K13" s="225">
        <v>0</v>
      </c>
      <c r="L13" s="227"/>
      <c r="M13" s="225">
        <f t="shared" ref="M13:M23" si="3">H13-J13-K13</f>
        <v>2800</v>
      </c>
      <c r="N13" s="232"/>
      <c r="P13" s="241"/>
      <c r="V13" s="225"/>
    </row>
    <row r="14" spans="1:22" ht="18" customHeight="1">
      <c r="A14" s="5" t="s">
        <v>151</v>
      </c>
      <c r="B14" s="240" t="s">
        <v>152</v>
      </c>
      <c r="C14" s="222"/>
      <c r="D14" s="223">
        <v>3300</v>
      </c>
      <c r="E14" s="224"/>
      <c r="F14" s="223">
        <v>0</v>
      </c>
      <c r="G14" s="224"/>
      <c r="H14" s="225">
        <f t="shared" si="2"/>
        <v>3300</v>
      </c>
      <c r="I14" s="224"/>
      <c r="J14" s="224">
        <v>0</v>
      </c>
      <c r="K14" s="225">
        <v>0</v>
      </c>
      <c r="L14" s="227"/>
      <c r="M14" s="225">
        <f t="shared" si="3"/>
        <v>3300</v>
      </c>
      <c r="N14" s="222"/>
      <c r="V14" s="225"/>
    </row>
    <row r="15" spans="1:22" ht="18" customHeight="1">
      <c r="A15" s="5" t="s">
        <v>153</v>
      </c>
      <c r="B15" s="5"/>
      <c r="C15" s="222"/>
      <c r="D15" s="223">
        <v>25000</v>
      </c>
      <c r="E15" s="224"/>
      <c r="F15" s="223">
        <v>0</v>
      </c>
      <c r="G15" s="224"/>
      <c r="H15" s="225">
        <f t="shared" si="2"/>
        <v>25000</v>
      </c>
      <c r="I15" s="224"/>
      <c r="J15" s="224">
        <v>1200</v>
      </c>
      <c r="K15" s="225">
        <v>0</v>
      </c>
      <c r="L15" s="227"/>
      <c r="M15" s="225">
        <f t="shared" si="3"/>
        <v>23800</v>
      </c>
      <c r="N15" s="222"/>
      <c r="V15" s="225"/>
    </row>
    <row r="16" spans="1:22" ht="18" customHeight="1">
      <c r="A16" s="5" t="s">
        <v>154</v>
      </c>
      <c r="B16" s="240" t="s">
        <v>155</v>
      </c>
      <c r="C16" s="222"/>
      <c r="D16" s="223">
        <v>3300</v>
      </c>
      <c r="E16" s="224"/>
      <c r="F16" s="223">
        <v>0</v>
      </c>
      <c r="G16" s="224"/>
      <c r="H16" s="225">
        <f t="shared" si="2"/>
        <v>3300</v>
      </c>
      <c r="I16" s="224"/>
      <c r="J16" s="224">
        <v>0</v>
      </c>
      <c r="K16" s="225">
        <v>0</v>
      </c>
      <c r="L16" s="227"/>
      <c r="M16" s="225">
        <f t="shared" si="3"/>
        <v>3300</v>
      </c>
      <c r="N16" s="222"/>
      <c r="O16" s="37"/>
      <c r="V16" s="225"/>
    </row>
    <row r="17" spans="1:22" ht="18" customHeight="1">
      <c r="A17" s="5" t="s">
        <v>156</v>
      </c>
      <c r="B17" s="5"/>
      <c r="C17" s="222"/>
      <c r="D17" s="223">
        <v>3300</v>
      </c>
      <c r="E17" s="224"/>
      <c r="F17" s="223">
        <v>0</v>
      </c>
      <c r="G17" s="224"/>
      <c r="H17" s="225">
        <f t="shared" ref="H17:H19" si="4">D17+F17</f>
        <v>3300</v>
      </c>
      <c r="I17" s="224"/>
      <c r="J17" s="224">
        <v>0</v>
      </c>
      <c r="K17" s="225">
        <v>3000</v>
      </c>
      <c r="L17" s="227"/>
      <c r="M17" s="225">
        <f t="shared" ref="M17:M19" si="5">H17-J17-K17</f>
        <v>300</v>
      </c>
      <c r="N17" s="222"/>
      <c r="O17" s="4"/>
      <c r="V17" s="225"/>
    </row>
    <row r="18" spans="1:22" ht="18" customHeight="1">
      <c r="A18" s="5" t="s">
        <v>157</v>
      </c>
      <c r="B18" s="5"/>
      <c r="C18" s="222"/>
      <c r="D18" s="223">
        <v>27145</v>
      </c>
      <c r="E18" s="224"/>
      <c r="F18" s="223">
        <v>0</v>
      </c>
      <c r="G18" s="224"/>
      <c r="H18" s="225">
        <f t="shared" si="4"/>
        <v>27145</v>
      </c>
      <c r="I18" s="224"/>
      <c r="J18" s="224">
        <v>0</v>
      </c>
      <c r="K18" s="225">
        <v>0</v>
      </c>
      <c r="L18" s="227"/>
      <c r="M18" s="225">
        <f t="shared" si="5"/>
        <v>27145</v>
      </c>
      <c r="N18" s="222"/>
      <c r="O18" s="4"/>
      <c r="V18" s="225"/>
    </row>
    <row r="19" spans="1:22" ht="18" customHeight="1">
      <c r="A19" s="5" t="s">
        <v>158</v>
      </c>
      <c r="B19" s="5"/>
      <c r="C19" s="222"/>
      <c r="D19" s="223">
        <v>103342.14</v>
      </c>
      <c r="E19" s="224"/>
      <c r="F19" s="223">
        <v>0</v>
      </c>
      <c r="G19" s="224"/>
      <c r="H19" s="225">
        <f t="shared" si="4"/>
        <v>103342.14</v>
      </c>
      <c r="I19" s="224"/>
      <c r="J19" s="224">
        <v>0</v>
      </c>
      <c r="K19" s="225">
        <v>103342.14</v>
      </c>
      <c r="L19" s="227"/>
      <c r="M19" s="225">
        <f t="shared" si="5"/>
        <v>0</v>
      </c>
      <c r="N19" s="222"/>
      <c r="O19" s="4"/>
      <c r="P19" s="242"/>
      <c r="V19" s="225"/>
    </row>
    <row r="20" spans="1:22" ht="18" customHeight="1">
      <c r="A20" s="5" t="s">
        <v>159</v>
      </c>
      <c r="B20" s="5"/>
      <c r="C20" s="222"/>
      <c r="D20" s="223">
        <v>4000</v>
      </c>
      <c r="E20" s="224"/>
      <c r="F20" s="223">
        <v>0</v>
      </c>
      <c r="G20" s="224"/>
      <c r="H20" s="225">
        <f t="shared" si="2"/>
        <v>4000</v>
      </c>
      <c r="I20" s="224"/>
      <c r="J20" s="224">
        <v>0</v>
      </c>
      <c r="K20" s="225">
        <v>0</v>
      </c>
      <c r="L20" s="227"/>
      <c r="M20" s="225">
        <f t="shared" si="3"/>
        <v>4000</v>
      </c>
      <c r="N20" s="222"/>
      <c r="O20" s="4"/>
      <c r="V20" s="225"/>
    </row>
    <row r="21" spans="1:22" ht="18" customHeight="1">
      <c r="A21" s="5" t="s">
        <v>160</v>
      </c>
      <c r="B21" s="5"/>
      <c r="C21" s="222"/>
      <c r="D21" s="223">
        <v>19578</v>
      </c>
      <c r="E21" s="224"/>
      <c r="F21" s="223">
        <v>0</v>
      </c>
      <c r="G21" s="224"/>
      <c r="H21" s="225">
        <f t="shared" ref="H21:H22" si="6">D21+F21</f>
        <v>19578</v>
      </c>
      <c r="I21" s="224"/>
      <c r="J21" s="224">
        <v>0</v>
      </c>
      <c r="K21" s="225">
        <v>16838.71</v>
      </c>
      <c r="L21" s="227"/>
      <c r="M21" s="225">
        <f t="shared" ref="M21:M22" si="7">H21-J21-K21</f>
        <v>2739.2900000000009</v>
      </c>
      <c r="N21" s="222"/>
      <c r="O21" s="4"/>
      <c r="V21" s="225"/>
    </row>
    <row r="22" spans="1:22" ht="17.25" customHeight="1">
      <c r="A22" s="5" t="s">
        <v>161</v>
      </c>
      <c r="B22" s="5"/>
      <c r="C22" s="222"/>
      <c r="D22" s="223">
        <v>8900</v>
      </c>
      <c r="E22" s="224"/>
      <c r="F22" s="223">
        <v>0</v>
      </c>
      <c r="G22" s="224"/>
      <c r="H22" s="225">
        <f t="shared" si="6"/>
        <v>8900</v>
      </c>
      <c r="I22" s="224"/>
      <c r="J22" s="224">
        <v>0</v>
      </c>
      <c r="K22" s="225">
        <v>8896.51</v>
      </c>
      <c r="L22" s="227"/>
      <c r="M22" s="225">
        <f t="shared" si="7"/>
        <v>3.4899999999997817</v>
      </c>
      <c r="N22" s="222"/>
      <c r="O22" s="4"/>
      <c r="P22" s="242"/>
      <c r="V22" s="225"/>
    </row>
    <row r="23" spans="1:22" ht="17.25" customHeight="1">
      <c r="A23" s="5" t="s">
        <v>162</v>
      </c>
      <c r="B23" s="5"/>
      <c r="C23" s="222"/>
      <c r="D23" s="223">
        <v>100981.7</v>
      </c>
      <c r="E23" s="224"/>
      <c r="F23" s="223">
        <v>0</v>
      </c>
      <c r="G23" s="224"/>
      <c r="H23" s="225">
        <f t="shared" si="2"/>
        <v>100981.7</v>
      </c>
      <c r="I23" s="224"/>
      <c r="J23" s="224">
        <v>2644.34</v>
      </c>
      <c r="K23" s="225">
        <v>32371.31</v>
      </c>
      <c r="L23" s="227"/>
      <c r="M23" s="225">
        <f t="shared" si="3"/>
        <v>65966.05</v>
      </c>
      <c r="N23" s="222"/>
      <c r="O23" s="4"/>
      <c r="V23" s="225"/>
    </row>
    <row r="24" spans="1:22" ht="17.25" customHeight="1">
      <c r="A24" s="44" t="s">
        <v>90</v>
      </c>
      <c r="B24" s="44"/>
      <c r="C24" s="222"/>
      <c r="D24" s="229">
        <f>SUM(D12:D23)</f>
        <v>308746.84000000003</v>
      </c>
      <c r="E24" s="224"/>
      <c r="F24" s="229">
        <f>SUM(F12:F23)</f>
        <v>0</v>
      </c>
      <c r="G24" s="224"/>
      <c r="H24" s="229">
        <f>SUM(H12:H23)</f>
        <v>308746.84000000003</v>
      </c>
      <c r="I24" s="224"/>
      <c r="J24" s="230">
        <f>SUM(J12:J23)</f>
        <v>3844.34</v>
      </c>
      <c r="K24" s="230">
        <f>SUM(K12:K23)</f>
        <v>164448.67000000001</v>
      </c>
      <c r="L24" s="224"/>
      <c r="M24" s="229">
        <f>SUM(M12:M23)</f>
        <v>140453.83000000002</v>
      </c>
      <c r="N24" s="222"/>
      <c r="O24" s="242"/>
    </row>
    <row r="25" spans="1:22" ht="17.25" customHeight="1">
      <c r="A25" s="44" t="s">
        <v>91</v>
      </c>
      <c r="B25" s="44"/>
      <c r="C25" s="222"/>
      <c r="D25" s="229">
        <f>+D10-D24</f>
        <v>-262775.44000000006</v>
      </c>
      <c r="E25" s="224"/>
      <c r="F25" s="224"/>
      <c r="G25" s="224"/>
      <c r="H25" s="229">
        <f>+H10-H24</f>
        <v>-37695.23000000004</v>
      </c>
      <c r="I25" s="224"/>
      <c r="J25" s="224"/>
      <c r="K25" s="224"/>
      <c r="L25" s="224"/>
      <c r="M25" s="224"/>
      <c r="N25" s="222"/>
    </row>
    <row r="26" spans="1:22" ht="15.95" customHeight="1">
      <c r="A26" s="222"/>
      <c r="B26" s="222"/>
      <c r="C26" s="222"/>
      <c r="D26" s="222"/>
      <c r="E26" s="222"/>
      <c r="F26" s="222"/>
      <c r="G26" s="222"/>
      <c r="H26" s="222"/>
      <c r="I26" s="222"/>
      <c r="J26" s="232"/>
      <c r="K26" s="232"/>
      <c r="L26" s="222"/>
      <c r="M26" s="222"/>
      <c r="N26" s="222"/>
    </row>
    <row r="27" spans="1:22" ht="15.95" customHeight="1">
      <c r="K27" s="4"/>
      <c r="N27" s="4"/>
    </row>
    <row r="28" spans="1:22" ht="15.95" customHeight="1">
      <c r="K28" s="237">
        <v>42200</v>
      </c>
      <c r="O28" s="243"/>
    </row>
    <row r="29" spans="1:22" ht="15.95" customHeight="1">
      <c r="K29" s="237">
        <f>+K28-K24</f>
        <v>-122248.67000000001</v>
      </c>
      <c r="O29" s="243"/>
    </row>
    <row r="30" spans="1:22" ht="15.95" customHeight="1">
      <c r="O30" s="243"/>
    </row>
    <row r="31" spans="1:22" ht="15.95" customHeight="1">
      <c r="O31" s="243"/>
    </row>
    <row r="32" spans="1:22" ht="15.95" customHeight="1">
      <c r="O32" s="243"/>
    </row>
    <row r="33" spans="15:15" ht="15.95" customHeight="1">
      <c r="O33" s="243"/>
    </row>
    <row r="34" spans="15:15" ht="15.95" customHeight="1">
      <c r="O34" s="243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39CB-C92C-4A06-B1AC-2678FFC7717E}">
  <sheetPr>
    <tabColor rgb="FFFFFF00"/>
  </sheetPr>
  <dimension ref="A1:P44"/>
  <sheetViews>
    <sheetView topLeftCell="A10" workbookViewId="0">
      <selection activeCell="J38" sqref="J38"/>
    </sheetView>
  </sheetViews>
  <sheetFormatPr defaultColWidth="9.140625" defaultRowHeight="15"/>
  <cols>
    <col min="1" max="1" width="9" style="80" bestFit="1" customWidth="1"/>
    <col min="2" max="2" width="35" style="76" customWidth="1"/>
    <col min="3" max="3" width="1.7109375" style="76" customWidth="1"/>
    <col min="4" max="4" width="10.5703125" style="76" bestFit="1" customWidth="1"/>
    <col min="5" max="5" width="1.7109375" style="76" customWidth="1"/>
    <col min="6" max="6" width="11.5703125" style="76" customWidth="1"/>
    <col min="7" max="7" width="1.7109375" style="76" customWidth="1"/>
    <col min="8" max="8" width="11.7109375" style="76" bestFit="1" customWidth="1"/>
    <col min="9" max="9" width="1.7109375" style="76" customWidth="1"/>
    <col min="10" max="10" width="16.140625" style="76" customWidth="1"/>
    <col min="11" max="11" width="14" style="76" customWidth="1"/>
    <col min="12" max="12" width="1.7109375" style="76" customWidth="1"/>
    <col min="13" max="13" width="10.140625" style="76" customWidth="1"/>
    <col min="14" max="16384" width="9.140625" style="76"/>
  </cols>
  <sheetData>
    <row r="1" spans="1:16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6">
      <c r="A2" s="277" t="s">
        <v>163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6">
      <c r="A3" s="277" t="s">
        <v>126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6" ht="17.25" customHeight="1">
      <c r="A4" s="277" t="str">
        <f>'Allocation '!A3:U3</f>
        <v>As of January 31, 2025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6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6" ht="27" thickBot="1">
      <c r="A6" s="80" t="s">
        <v>144</v>
      </c>
      <c r="B6" s="173" t="s">
        <v>3</v>
      </c>
      <c r="C6" s="174"/>
      <c r="D6" s="175" t="s">
        <v>7</v>
      </c>
      <c r="E6" s="176"/>
      <c r="F6" s="175" t="s">
        <v>8</v>
      </c>
      <c r="G6" s="176"/>
      <c r="H6" s="175" t="s">
        <v>9</v>
      </c>
      <c r="I6" s="176"/>
      <c r="J6" s="45" t="s">
        <v>78</v>
      </c>
      <c r="K6" s="45" t="s">
        <v>131</v>
      </c>
      <c r="L6" s="46"/>
      <c r="M6" s="175" t="s">
        <v>80</v>
      </c>
      <c r="N6" s="5"/>
    </row>
    <row r="7" spans="1:16">
      <c r="A7" s="190"/>
      <c r="B7" s="5" t="s">
        <v>25</v>
      </c>
      <c r="C7" s="5"/>
      <c r="D7" s="177">
        <f>Referendums!E104</f>
        <v>13180.099999999999</v>
      </c>
      <c r="E7" s="178"/>
      <c r="F7" s="177">
        <f>'Allocation '!T19</f>
        <v>10000</v>
      </c>
      <c r="G7" s="178"/>
      <c r="H7" s="179">
        <f>D7+F7</f>
        <v>23180.1</v>
      </c>
      <c r="I7" s="178"/>
      <c r="J7" s="191"/>
      <c r="K7" s="192"/>
      <c r="L7" s="180"/>
      <c r="M7" s="179">
        <f>H7-J7-K7</f>
        <v>23180.1</v>
      </c>
      <c r="N7" s="5"/>
    </row>
    <row r="8" spans="1:16">
      <c r="B8" s="5" t="s">
        <v>28</v>
      </c>
      <c r="C8" s="5"/>
      <c r="D8" s="75">
        <f>+Referendums!E108</f>
        <v>12177.1</v>
      </c>
      <c r="E8" s="178"/>
      <c r="F8" s="177">
        <v>0</v>
      </c>
      <c r="G8" s="178"/>
      <c r="H8" s="179">
        <f>D8-F8</f>
        <v>12177.1</v>
      </c>
      <c r="I8" s="178"/>
      <c r="J8" s="191"/>
      <c r="K8" s="192"/>
      <c r="L8" s="180"/>
      <c r="M8" s="179">
        <f>H8-J8-K8</f>
        <v>12177.1</v>
      </c>
      <c r="N8" s="189"/>
      <c r="P8" s="94"/>
    </row>
    <row r="9" spans="1:16" hidden="1">
      <c r="B9" s="5" t="s">
        <v>164</v>
      </c>
      <c r="C9" s="5"/>
      <c r="D9" s="177"/>
      <c r="E9" s="178"/>
      <c r="F9" s="177">
        <v>0</v>
      </c>
      <c r="G9" s="178"/>
      <c r="H9" s="179">
        <f>D9+F9</f>
        <v>0</v>
      </c>
      <c r="I9" s="178"/>
      <c r="J9" s="191"/>
      <c r="K9" s="192"/>
      <c r="L9" s="180"/>
      <c r="M9" s="179">
        <f>H9-K9</f>
        <v>0</v>
      </c>
      <c r="N9" s="189"/>
    </row>
    <row r="10" spans="1:16">
      <c r="B10" s="44" t="s">
        <v>32</v>
      </c>
      <c r="C10" s="5"/>
      <c r="D10" s="181">
        <f>SUM(D7:D8)</f>
        <v>25357.199999999997</v>
      </c>
      <c r="E10" s="178"/>
      <c r="F10" s="181">
        <f>SUM(F7:F9)</f>
        <v>10000</v>
      </c>
      <c r="G10" s="178"/>
      <c r="H10" s="181">
        <f>SUM(H7:H9)</f>
        <v>35357.199999999997</v>
      </c>
      <c r="I10" s="178"/>
      <c r="J10" s="191"/>
      <c r="K10" s="191"/>
      <c r="L10" s="180"/>
      <c r="M10" s="181">
        <f>SUM(M7:M9)</f>
        <v>35357.199999999997</v>
      </c>
      <c r="N10" s="5"/>
    </row>
    <row r="11" spans="1:16" hidden="1">
      <c r="B11" s="13" t="s">
        <v>95</v>
      </c>
      <c r="C11" s="5"/>
      <c r="D11" s="178">
        <v>0</v>
      </c>
      <c r="E11" s="178"/>
      <c r="F11" s="178">
        <v>0</v>
      </c>
      <c r="G11" s="178"/>
      <c r="H11" s="180">
        <f>+D11+F11</f>
        <v>0</v>
      </c>
      <c r="I11" s="178"/>
      <c r="J11" s="178"/>
      <c r="K11" s="180">
        <v>0</v>
      </c>
      <c r="L11" s="180"/>
      <c r="M11" s="180">
        <f>+H11-K11</f>
        <v>0</v>
      </c>
      <c r="N11" s="5"/>
    </row>
    <row r="12" spans="1:16" hidden="1">
      <c r="B12" s="13"/>
      <c r="C12" s="5"/>
      <c r="D12" s="178"/>
      <c r="E12" s="178"/>
      <c r="F12" s="178">
        <v>0</v>
      </c>
      <c r="G12" s="178"/>
      <c r="H12" s="180">
        <f>+D12+F12</f>
        <v>0</v>
      </c>
      <c r="I12" s="178"/>
      <c r="J12" s="178"/>
      <c r="K12" s="180">
        <v>0</v>
      </c>
      <c r="L12" s="180"/>
      <c r="M12" s="179">
        <f>H12-J12-K12</f>
        <v>0</v>
      </c>
      <c r="N12" s="5"/>
    </row>
    <row r="13" spans="1:16" hidden="1">
      <c r="B13" s="44" t="s">
        <v>96</v>
      </c>
      <c r="C13" s="5"/>
      <c r="D13" s="181">
        <f>+D10+D11+D12</f>
        <v>25357.199999999997</v>
      </c>
      <c r="E13" s="178"/>
      <c r="F13" s="181">
        <f>+F10+F11+F12</f>
        <v>10000</v>
      </c>
      <c r="G13" s="178"/>
      <c r="H13" s="181">
        <f>+H10+H11+H12</f>
        <v>35357.199999999997</v>
      </c>
      <c r="I13" s="178"/>
      <c r="J13" s="181">
        <f>+J10+J11+J12</f>
        <v>0</v>
      </c>
      <c r="K13" s="181">
        <f>+K10+K11+K12</f>
        <v>0</v>
      </c>
      <c r="L13" s="180"/>
      <c r="M13" s="181">
        <f>+M10+M11+M12</f>
        <v>35357.199999999997</v>
      </c>
      <c r="N13" s="5"/>
    </row>
    <row r="14" spans="1:16">
      <c r="B14" s="44"/>
      <c r="C14" s="5"/>
      <c r="D14" s="178"/>
      <c r="E14" s="178"/>
      <c r="F14" s="178"/>
      <c r="G14" s="178"/>
      <c r="H14" s="180"/>
      <c r="I14" s="178"/>
      <c r="J14" s="178"/>
      <c r="K14" s="180"/>
      <c r="L14" s="180"/>
      <c r="M14" s="180"/>
      <c r="N14" s="5"/>
    </row>
    <row r="15" spans="1:16" ht="15" customHeight="1">
      <c r="B15" s="193" t="s">
        <v>25</v>
      </c>
      <c r="C15" s="5"/>
      <c r="D15" s="178"/>
      <c r="E15" s="178"/>
      <c r="F15" s="178"/>
      <c r="G15" s="178"/>
      <c r="H15" s="180"/>
      <c r="I15" s="178"/>
      <c r="J15" s="178"/>
      <c r="K15" s="180"/>
      <c r="L15" s="180"/>
      <c r="M15" s="180"/>
      <c r="N15" s="5"/>
    </row>
    <row r="16" spans="1:16">
      <c r="A16" s="194"/>
      <c r="B16" s="5" t="s">
        <v>40</v>
      </c>
      <c r="C16" s="5"/>
      <c r="D16" s="177">
        <f>'Allocation '!T31</f>
        <v>3900</v>
      </c>
      <c r="E16" s="178"/>
      <c r="F16" s="177">
        <v>0</v>
      </c>
      <c r="G16" s="178"/>
      <c r="H16" s="179">
        <f>D16+F16</f>
        <v>3900</v>
      </c>
      <c r="I16" s="178"/>
      <c r="J16" s="178">
        <v>0</v>
      </c>
      <c r="K16" s="179">
        <v>0</v>
      </c>
      <c r="L16" s="180"/>
      <c r="M16" s="179">
        <f t="shared" ref="M16" si="0">H16-K16</f>
        <v>3900</v>
      </c>
      <c r="N16" s="5"/>
    </row>
    <row r="17" spans="1:14">
      <c r="A17" s="194"/>
      <c r="B17" s="5" t="s">
        <v>165</v>
      </c>
      <c r="C17" s="5"/>
      <c r="D17" s="177">
        <v>4000</v>
      </c>
      <c r="E17" s="178"/>
      <c r="F17" s="177"/>
      <c r="G17" s="178"/>
      <c r="H17" s="179">
        <f t="shared" ref="H17:H31" si="1">+D17+F17</f>
        <v>4000</v>
      </c>
      <c r="I17" s="178"/>
      <c r="J17" s="178">
        <v>0</v>
      </c>
      <c r="K17" s="179">
        <v>255.8</v>
      </c>
      <c r="L17" s="180"/>
      <c r="M17" s="179">
        <f>H17-J17-K17</f>
        <v>3744.2</v>
      </c>
      <c r="N17" s="189"/>
    </row>
    <row r="18" spans="1:14">
      <c r="A18" s="194"/>
      <c r="B18" s="5" t="s">
        <v>166</v>
      </c>
      <c r="C18" s="5"/>
      <c r="D18" s="177">
        <v>4130</v>
      </c>
      <c r="E18" s="178"/>
      <c r="F18" s="177"/>
      <c r="G18" s="178"/>
      <c r="H18" s="179">
        <f t="shared" si="1"/>
        <v>4130</v>
      </c>
      <c r="I18" s="178"/>
      <c r="J18" s="178">
        <v>0</v>
      </c>
      <c r="K18" s="179">
        <v>0</v>
      </c>
      <c r="L18" s="180"/>
      <c r="M18" s="179">
        <f>H18-J18-K18</f>
        <v>4130</v>
      </c>
      <c r="N18" s="189"/>
    </row>
    <row r="19" spans="1:14">
      <c r="A19" s="194"/>
      <c r="B19" s="195" t="s">
        <v>167</v>
      </c>
      <c r="C19" s="5"/>
      <c r="D19" s="177">
        <v>4000</v>
      </c>
      <c r="E19" s="178"/>
      <c r="F19" s="177"/>
      <c r="G19" s="178"/>
      <c r="H19" s="179">
        <f t="shared" si="1"/>
        <v>4000</v>
      </c>
      <c r="I19" s="178"/>
      <c r="J19" s="178">
        <v>0</v>
      </c>
      <c r="K19" s="179">
        <v>0</v>
      </c>
      <c r="L19" s="180"/>
      <c r="M19" s="179">
        <f t="shared" ref="M19:M24" si="2">H19-J19-K19</f>
        <v>4000</v>
      </c>
      <c r="N19" s="5"/>
    </row>
    <row r="20" spans="1:14">
      <c r="A20" s="194"/>
      <c r="B20" s="5" t="s">
        <v>168</v>
      </c>
      <c r="C20" s="5"/>
      <c r="D20" s="177">
        <v>4000</v>
      </c>
      <c r="E20" s="178"/>
      <c r="F20" s="177"/>
      <c r="G20" s="178"/>
      <c r="H20" s="179">
        <f t="shared" si="1"/>
        <v>4000</v>
      </c>
      <c r="I20" s="178"/>
      <c r="J20" s="178">
        <v>0</v>
      </c>
      <c r="K20" s="179">
        <v>0</v>
      </c>
      <c r="L20" s="180"/>
      <c r="M20" s="179">
        <f t="shared" si="2"/>
        <v>4000</v>
      </c>
      <c r="N20" s="5"/>
    </row>
    <row r="21" spans="1:14">
      <c r="A21" s="194"/>
      <c r="B21" s="76" t="s">
        <v>169</v>
      </c>
      <c r="C21" s="5"/>
      <c r="D21" s="177">
        <v>4000</v>
      </c>
      <c r="E21" s="178"/>
      <c r="F21" s="177"/>
      <c r="G21" s="178"/>
      <c r="H21" s="179">
        <f t="shared" si="1"/>
        <v>4000</v>
      </c>
      <c r="I21" s="178"/>
      <c r="J21" s="178">
        <v>197.58</v>
      </c>
      <c r="K21" s="179">
        <v>0</v>
      </c>
      <c r="L21" s="180"/>
      <c r="M21" s="179">
        <f t="shared" si="2"/>
        <v>3802.42</v>
      </c>
      <c r="N21" s="5"/>
    </row>
    <row r="22" spans="1:14">
      <c r="A22" s="194"/>
      <c r="B22" s="5" t="s">
        <v>170</v>
      </c>
      <c r="C22" s="5"/>
      <c r="D22" s="177">
        <v>4000</v>
      </c>
      <c r="E22" s="178"/>
      <c r="F22" s="177"/>
      <c r="G22" s="178"/>
      <c r="H22" s="179">
        <f t="shared" si="1"/>
        <v>4000</v>
      </c>
      <c r="I22" s="178"/>
      <c r="J22" s="178">
        <v>0</v>
      </c>
      <c r="K22" s="179">
        <v>0</v>
      </c>
      <c r="L22" s="180"/>
      <c r="M22" s="179">
        <f t="shared" si="2"/>
        <v>4000</v>
      </c>
      <c r="N22" s="189"/>
    </row>
    <row r="23" spans="1:14" s="196" customFormat="1">
      <c r="A23" s="194"/>
      <c r="B23" s="5" t="s">
        <v>171</v>
      </c>
      <c r="C23" s="5"/>
      <c r="D23" s="177">
        <v>4000</v>
      </c>
      <c r="E23" s="178"/>
      <c r="F23" s="177"/>
      <c r="G23" s="178"/>
      <c r="H23" s="179">
        <f t="shared" si="1"/>
        <v>4000</v>
      </c>
      <c r="I23" s="178"/>
      <c r="J23" s="178">
        <v>0</v>
      </c>
      <c r="K23" s="179">
        <v>0</v>
      </c>
      <c r="L23" s="180"/>
      <c r="M23" s="179">
        <f t="shared" si="2"/>
        <v>4000</v>
      </c>
      <c r="N23" s="5"/>
    </row>
    <row r="24" spans="1:14" s="196" customFormat="1">
      <c r="A24" s="194"/>
      <c r="B24" s="5" t="s">
        <v>172</v>
      </c>
      <c r="C24" s="5"/>
      <c r="D24" s="177">
        <v>4000</v>
      </c>
      <c r="E24" s="178"/>
      <c r="F24" s="177"/>
      <c r="G24" s="178"/>
      <c r="H24" s="179">
        <f t="shared" si="1"/>
        <v>4000</v>
      </c>
      <c r="I24" s="178"/>
      <c r="J24" s="178">
        <v>307.32</v>
      </c>
      <c r="K24" s="179">
        <v>0</v>
      </c>
      <c r="L24" s="180"/>
      <c r="M24" s="179">
        <f t="shared" si="2"/>
        <v>3692.68</v>
      </c>
      <c r="N24" s="5"/>
    </row>
    <row r="25" spans="1:14">
      <c r="A25" s="194"/>
      <c r="B25" s="5" t="s">
        <v>173</v>
      </c>
      <c r="C25" s="5"/>
      <c r="D25" s="177">
        <v>4000</v>
      </c>
      <c r="E25" s="178"/>
      <c r="F25" s="177"/>
      <c r="G25" s="178"/>
      <c r="H25" s="179">
        <f>+D25+F25</f>
        <v>4000</v>
      </c>
      <c r="I25" s="178"/>
      <c r="J25" s="178">
        <v>0</v>
      </c>
      <c r="K25" s="179">
        <v>0</v>
      </c>
      <c r="L25" s="180"/>
      <c r="M25" s="179">
        <f>H25-J25-K25</f>
        <v>4000</v>
      </c>
      <c r="N25" s="5"/>
    </row>
    <row r="26" spans="1:14" s="196" customFormat="1">
      <c r="A26" s="194"/>
      <c r="B26" s="5" t="s">
        <v>174</v>
      </c>
      <c r="C26" s="5"/>
      <c r="D26" s="177">
        <v>4000</v>
      </c>
      <c r="E26" s="178"/>
      <c r="F26" s="177"/>
      <c r="G26" s="178"/>
      <c r="H26" s="179">
        <f t="shared" ref="H26" si="3">+D26+F26</f>
        <v>4000</v>
      </c>
      <c r="I26" s="178"/>
      <c r="J26" s="178">
        <v>0</v>
      </c>
      <c r="K26" s="179">
        <v>14.09</v>
      </c>
      <c r="L26" s="180"/>
      <c r="M26" s="179">
        <f t="shared" ref="M26:M31" si="4">H26-J26-K26</f>
        <v>3985.91</v>
      </c>
      <c r="N26" s="5"/>
    </row>
    <row r="27" spans="1:14" s="196" customFormat="1">
      <c r="A27" s="194"/>
      <c r="B27" s="5" t="s">
        <v>175</v>
      </c>
      <c r="C27" s="5"/>
      <c r="D27" s="177">
        <v>4000</v>
      </c>
      <c r="E27" s="178"/>
      <c r="F27" s="177"/>
      <c r="G27" s="178"/>
      <c r="H27" s="179">
        <f t="shared" si="1"/>
        <v>4000</v>
      </c>
      <c r="I27" s="178"/>
      <c r="J27" s="178">
        <v>0</v>
      </c>
      <c r="K27" s="179">
        <v>0</v>
      </c>
      <c r="L27" s="180"/>
      <c r="M27" s="179">
        <f t="shared" si="4"/>
        <v>4000</v>
      </c>
      <c r="N27" s="5"/>
    </row>
    <row r="28" spans="1:14" s="196" customFormat="1">
      <c r="A28" s="194"/>
      <c r="B28" s="5" t="s">
        <v>176</v>
      </c>
      <c r="C28" s="5"/>
      <c r="D28" s="177">
        <v>4000</v>
      </c>
      <c r="E28" s="178"/>
      <c r="F28" s="177"/>
      <c r="G28" s="178"/>
      <c r="H28" s="179">
        <f t="shared" si="1"/>
        <v>4000</v>
      </c>
      <c r="I28" s="178"/>
      <c r="J28" s="178">
        <v>0</v>
      </c>
      <c r="K28" s="179">
        <v>660</v>
      </c>
      <c r="L28" s="180"/>
      <c r="M28" s="179">
        <f t="shared" si="4"/>
        <v>3340</v>
      </c>
      <c r="N28" s="5"/>
    </row>
    <row r="29" spans="1:14" s="196" customFormat="1">
      <c r="A29" s="194"/>
      <c r="B29" s="5" t="s">
        <v>160</v>
      </c>
      <c r="C29" s="5"/>
      <c r="D29" s="177">
        <v>7607</v>
      </c>
      <c r="E29" s="178"/>
      <c r="F29" s="177"/>
      <c r="G29" s="178"/>
      <c r="H29" s="179">
        <f t="shared" si="1"/>
        <v>7607</v>
      </c>
      <c r="I29" s="178"/>
      <c r="J29" s="178">
        <v>0</v>
      </c>
      <c r="K29" s="179">
        <v>0</v>
      </c>
      <c r="L29" s="180"/>
      <c r="M29" s="179">
        <f t="shared" si="4"/>
        <v>7607</v>
      </c>
      <c r="N29" s="5"/>
    </row>
    <row r="30" spans="1:14" s="196" customFormat="1">
      <c r="A30" s="194"/>
      <c r="B30" s="5" t="s">
        <v>177</v>
      </c>
      <c r="C30" s="5"/>
      <c r="D30" s="177">
        <v>4000</v>
      </c>
      <c r="E30" s="178"/>
      <c r="F30" s="177"/>
      <c r="G30" s="178"/>
      <c r="H30" s="179">
        <f t="shared" si="1"/>
        <v>4000</v>
      </c>
      <c r="I30" s="178"/>
      <c r="J30" s="178">
        <v>0</v>
      </c>
      <c r="K30" s="179">
        <v>0</v>
      </c>
      <c r="L30" s="180"/>
      <c r="M30" s="179">
        <f t="shared" si="4"/>
        <v>4000</v>
      </c>
      <c r="N30" s="5"/>
    </row>
    <row r="31" spans="1:14" s="196" customFormat="1">
      <c r="A31" s="194"/>
      <c r="B31" s="5" t="s">
        <v>178</v>
      </c>
      <c r="C31" s="5"/>
      <c r="D31" s="177">
        <v>4000</v>
      </c>
      <c r="E31" s="178"/>
      <c r="F31" s="177"/>
      <c r="G31" s="178"/>
      <c r="H31" s="179">
        <f t="shared" si="1"/>
        <v>4000</v>
      </c>
      <c r="I31" s="178"/>
      <c r="J31" s="178">
        <v>993.5</v>
      </c>
      <c r="K31" s="179"/>
      <c r="L31" s="180"/>
      <c r="M31" s="179">
        <f t="shared" si="4"/>
        <v>3006.5</v>
      </c>
      <c r="N31" s="5"/>
    </row>
    <row r="32" spans="1:14">
      <c r="A32" s="194"/>
      <c r="B32" s="44" t="s">
        <v>179</v>
      </c>
      <c r="C32" s="5"/>
      <c r="D32" s="181">
        <f>SUM(D16:D31)</f>
        <v>67637</v>
      </c>
      <c r="E32" s="178"/>
      <c r="F32" s="181">
        <f>SUM(F16:F31)</f>
        <v>0</v>
      </c>
      <c r="G32" s="178"/>
      <c r="H32" s="181">
        <f>SUM(H16:H31)</f>
        <v>67637</v>
      </c>
      <c r="I32" s="178"/>
      <c r="J32" s="181">
        <f>SUM(J16:J31)</f>
        <v>1498.4</v>
      </c>
      <c r="K32" s="181">
        <f>SUM(K16:K31)</f>
        <v>929.89</v>
      </c>
      <c r="L32" s="180"/>
      <c r="M32" s="181">
        <f>SUM(M16:M31)</f>
        <v>65208.710000000006</v>
      </c>
      <c r="N32" s="189"/>
    </row>
    <row r="33" spans="1:16">
      <c r="A33" s="194"/>
      <c r="B33" s="9" t="s">
        <v>28</v>
      </c>
      <c r="C33" s="5"/>
      <c r="D33" s="177"/>
      <c r="E33" s="178"/>
      <c r="F33" s="177"/>
      <c r="G33" s="178"/>
      <c r="H33" s="179"/>
      <c r="I33" s="178"/>
      <c r="J33" s="179"/>
      <c r="K33" s="179"/>
      <c r="L33" s="180"/>
      <c r="M33" s="179"/>
      <c r="N33" s="5"/>
    </row>
    <row r="34" spans="1:16">
      <c r="A34" s="194"/>
      <c r="B34" s="5"/>
      <c r="C34" s="5"/>
      <c r="D34" s="177">
        <v>0</v>
      </c>
      <c r="E34" s="178"/>
      <c r="F34" s="177">
        <v>0</v>
      </c>
      <c r="G34" s="178"/>
      <c r="H34" s="179">
        <f t="shared" ref="H34:H36" si="5">+D34+F34</f>
        <v>0</v>
      </c>
      <c r="I34" s="178"/>
      <c r="J34" s="179">
        <v>0</v>
      </c>
      <c r="K34" s="179">
        <v>0</v>
      </c>
      <c r="L34" s="180"/>
      <c r="M34" s="179">
        <f t="shared" ref="M34:M36" si="6">H34-K34</f>
        <v>0</v>
      </c>
      <c r="N34" s="5"/>
    </row>
    <row r="35" spans="1:16" s="196" customFormat="1">
      <c r="A35" s="194"/>
      <c r="B35" s="5"/>
      <c r="C35" s="5"/>
      <c r="D35" s="177">
        <v>0</v>
      </c>
      <c r="E35" s="178"/>
      <c r="F35" s="177">
        <v>0</v>
      </c>
      <c r="G35" s="178"/>
      <c r="H35" s="179">
        <f t="shared" si="5"/>
        <v>0</v>
      </c>
      <c r="I35" s="178"/>
      <c r="J35" s="178">
        <v>0</v>
      </c>
      <c r="K35" s="179">
        <v>0</v>
      </c>
      <c r="L35" s="180"/>
      <c r="M35" s="179">
        <f t="shared" si="6"/>
        <v>0</v>
      </c>
      <c r="N35" s="5"/>
      <c r="P35" s="197"/>
    </row>
    <row r="36" spans="1:16">
      <c r="A36" s="194"/>
      <c r="B36" s="5"/>
      <c r="C36" s="5"/>
      <c r="D36" s="177">
        <v>0</v>
      </c>
      <c r="E36" s="178"/>
      <c r="F36" s="177">
        <v>0</v>
      </c>
      <c r="G36" s="178"/>
      <c r="H36" s="179">
        <f t="shared" si="5"/>
        <v>0</v>
      </c>
      <c r="I36" s="178"/>
      <c r="J36" s="179">
        <v>0</v>
      </c>
      <c r="K36" s="179">
        <v>0</v>
      </c>
      <c r="L36" s="180"/>
      <c r="M36" s="179">
        <f t="shared" si="6"/>
        <v>0</v>
      </c>
      <c r="N36" s="5"/>
      <c r="O36" s="94"/>
      <c r="P36" s="94"/>
    </row>
    <row r="37" spans="1:16">
      <c r="A37" s="194"/>
      <c r="B37" s="14" t="s">
        <v>180</v>
      </c>
      <c r="C37" s="5"/>
      <c r="D37" s="181">
        <f>SUM(D34:D36)</f>
        <v>0</v>
      </c>
      <c r="E37" s="178"/>
      <c r="F37" s="181">
        <f>SUM(F34:F36)</f>
        <v>0</v>
      </c>
      <c r="G37" s="178"/>
      <c r="H37" s="181">
        <f>SUM(H34:H36)</f>
        <v>0</v>
      </c>
      <c r="I37" s="178"/>
      <c r="J37" s="181">
        <f>SUM(J34:J36)</f>
        <v>0</v>
      </c>
      <c r="K37" s="181">
        <f>SUM(K34:K36)</f>
        <v>0</v>
      </c>
      <c r="L37" s="181">
        <f>SUM(L34:L36)</f>
        <v>0</v>
      </c>
      <c r="M37" s="181">
        <f>SUM(M34:M36)</f>
        <v>0</v>
      </c>
      <c r="N37" s="189"/>
    </row>
    <row r="38" spans="1:16">
      <c r="A38" s="198"/>
      <c r="B38" s="44" t="s">
        <v>145</v>
      </c>
      <c r="C38" s="5"/>
      <c r="D38" s="181">
        <f>SUM(D19:D36)</f>
        <v>123244</v>
      </c>
      <c r="E38" s="178"/>
      <c r="F38" s="181">
        <f>F32+F37</f>
        <v>0</v>
      </c>
      <c r="G38" s="178"/>
      <c r="H38" s="181">
        <f>H32+H37</f>
        <v>67637</v>
      </c>
      <c r="I38" s="178"/>
      <c r="J38" s="181">
        <f>+J32+J37</f>
        <v>1498.4</v>
      </c>
      <c r="K38" s="181">
        <f>+K32+K37</f>
        <v>929.89</v>
      </c>
      <c r="L38" s="180"/>
      <c r="M38" s="181">
        <f>M32+M37</f>
        <v>65208.710000000006</v>
      </c>
      <c r="N38" s="189"/>
    </row>
    <row r="39" spans="1:16">
      <c r="A39" s="198"/>
      <c r="B39" s="44" t="s">
        <v>90</v>
      </c>
      <c r="C39" s="5"/>
      <c r="D39" s="181">
        <f>+D16+D38</f>
        <v>127144</v>
      </c>
      <c r="E39" s="178"/>
      <c r="F39" s="181">
        <f>+F16+F38</f>
        <v>0</v>
      </c>
      <c r="G39" s="178"/>
      <c r="H39" s="181">
        <f>H16+H38</f>
        <v>71537</v>
      </c>
      <c r="I39" s="178"/>
      <c r="J39" s="181">
        <f>J16+J38</f>
        <v>1498.4</v>
      </c>
      <c r="K39" s="181">
        <f>K16+K38</f>
        <v>929.89</v>
      </c>
      <c r="L39" s="178"/>
      <c r="M39" s="181">
        <f>+M16+M38</f>
        <v>69108.710000000006</v>
      </c>
      <c r="N39" s="189"/>
    </row>
    <row r="40" spans="1:16">
      <c r="A40" s="198"/>
      <c r="B40" s="44" t="s">
        <v>91</v>
      </c>
      <c r="C40" s="5"/>
      <c r="D40" s="181">
        <f>D13-D39</f>
        <v>-101786.8</v>
      </c>
      <c r="E40" s="178"/>
      <c r="F40" s="178"/>
      <c r="G40" s="178"/>
      <c r="H40" s="181">
        <f>H13-H39</f>
        <v>-36179.800000000003</v>
      </c>
      <c r="I40" s="178"/>
      <c r="J40" s="178"/>
      <c r="K40" s="178"/>
      <c r="L40" s="178"/>
      <c r="M40" s="178"/>
      <c r="N40" s="189"/>
    </row>
    <row r="41" spans="1:16">
      <c r="A41" s="198"/>
      <c r="B41" s="44" t="s">
        <v>181</v>
      </c>
      <c r="C41" s="5"/>
      <c r="D41" s="199">
        <v>0</v>
      </c>
      <c r="E41" s="200"/>
      <c r="F41" s="177">
        <v>0</v>
      </c>
      <c r="G41" s="200"/>
      <c r="H41" s="179">
        <f>+D41+F41</f>
        <v>0</v>
      </c>
      <c r="I41" s="200"/>
      <c r="J41" s="200"/>
      <c r="K41" s="201">
        <v>0</v>
      </c>
      <c r="L41" s="202"/>
      <c r="M41" s="201">
        <v>0</v>
      </c>
      <c r="N41" s="5"/>
    </row>
    <row r="42" spans="1:16">
      <c r="B42" s="44" t="s">
        <v>182</v>
      </c>
      <c r="D42" s="181">
        <f>+D40+D41</f>
        <v>-101786.8</v>
      </c>
      <c r="E42" s="178"/>
      <c r="F42" s="203">
        <f>+F40+F41</f>
        <v>0</v>
      </c>
      <c r="G42" s="178"/>
      <c r="H42" s="182">
        <f>+H40+H41</f>
        <v>-36179.800000000003</v>
      </c>
      <c r="I42" s="178"/>
      <c r="J42" s="178"/>
      <c r="K42" s="204">
        <f>+K40+K41</f>
        <v>0</v>
      </c>
      <c r="L42" s="180"/>
      <c r="M42" s="204">
        <f>+M40+M41</f>
        <v>0</v>
      </c>
    </row>
    <row r="43" spans="1:16">
      <c r="K43" s="94"/>
    </row>
    <row r="44" spans="1:16">
      <c r="H44" s="94"/>
      <c r="K44" s="94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2044-E8D8-48F3-B6D1-5679C0AD494C}">
  <sheetPr>
    <tabColor theme="6" tint="0.79998168889431442"/>
  </sheetPr>
  <dimension ref="A1:N21"/>
  <sheetViews>
    <sheetView workbookViewId="0">
      <selection activeCell="J11" sqref="J11"/>
    </sheetView>
  </sheetViews>
  <sheetFormatPr defaultRowHeight="15"/>
  <cols>
    <col min="1" max="1" width="21.85546875" bestFit="1" customWidth="1"/>
    <col min="2" max="2" width="3.42578125" customWidth="1"/>
    <col min="3" max="3" width="13" customWidth="1"/>
    <col min="4" max="4" width="1.5703125" customWidth="1"/>
    <col min="5" max="5" width="13" customWidth="1"/>
    <col min="6" max="6" width="1.5703125" customWidth="1"/>
    <col min="7" max="7" width="13" customWidth="1"/>
    <col min="8" max="8" width="1.5703125" customWidth="1"/>
    <col min="9" max="9" width="15.140625" customWidth="1"/>
    <col min="10" max="10" width="13" customWidth="1"/>
    <col min="11" max="11" width="1.5703125" customWidth="1"/>
    <col min="12" max="12" width="13" customWidth="1"/>
  </cols>
  <sheetData>
    <row r="1" spans="1:14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44"/>
    </row>
    <row r="2" spans="1:14">
      <c r="A2" s="278" t="s">
        <v>183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44"/>
    </row>
    <row r="3" spans="1:14">
      <c r="A3" s="278" t="s">
        <v>126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44"/>
    </row>
    <row r="4" spans="1:14" ht="17.2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44"/>
    </row>
    <row r="6" spans="1:14" ht="27" thickBot="1">
      <c r="A6" s="218"/>
      <c r="B6" s="219"/>
      <c r="C6" s="220" t="s">
        <v>7</v>
      </c>
      <c r="D6" s="221"/>
      <c r="E6" s="220" t="s">
        <v>8</v>
      </c>
      <c r="F6" s="221"/>
      <c r="G6" s="220" t="s">
        <v>9</v>
      </c>
      <c r="H6" s="221"/>
      <c r="I6" s="45" t="s">
        <v>78</v>
      </c>
      <c r="J6" s="45" t="s">
        <v>131</v>
      </c>
      <c r="K6" s="46"/>
      <c r="L6" s="220" t="s">
        <v>80</v>
      </c>
      <c r="M6" s="222"/>
    </row>
    <row r="7" spans="1:14">
      <c r="A7" s="222" t="s">
        <v>184</v>
      </c>
      <c r="B7" s="222"/>
      <c r="C7" s="223">
        <v>0</v>
      </c>
      <c r="D7" s="224"/>
      <c r="E7" s="223">
        <v>0</v>
      </c>
      <c r="F7" s="224"/>
      <c r="G7" s="225">
        <f>+C7+E7</f>
        <v>0</v>
      </c>
      <c r="H7" s="224"/>
      <c r="I7" s="224"/>
      <c r="J7" s="225">
        <v>0</v>
      </c>
      <c r="K7" s="227"/>
      <c r="L7" s="225">
        <v>35000</v>
      </c>
      <c r="M7" s="222"/>
    </row>
    <row r="8" spans="1:14">
      <c r="A8" s="228" t="s">
        <v>185</v>
      </c>
      <c r="B8" s="222"/>
      <c r="C8" s="229">
        <f>SUM(C7)</f>
        <v>0</v>
      </c>
      <c r="D8" s="224"/>
      <c r="E8" s="229">
        <f>SUM(E7)</f>
        <v>0</v>
      </c>
      <c r="F8" s="224"/>
      <c r="G8" s="230">
        <f>SUM(G7)</f>
        <v>0</v>
      </c>
      <c r="H8" s="224"/>
      <c r="I8" s="230">
        <v>0</v>
      </c>
      <c r="J8" s="230">
        <v>0</v>
      </c>
      <c r="K8" s="227"/>
      <c r="L8" s="230">
        <v>35000</v>
      </c>
      <c r="M8" s="222"/>
    </row>
    <row r="9" spans="1:14">
      <c r="A9" s="228"/>
      <c r="B9" s="222"/>
      <c r="C9" s="224"/>
      <c r="D9" s="224"/>
      <c r="E9" s="224"/>
      <c r="F9" s="224"/>
      <c r="G9" s="227"/>
      <c r="H9" s="224"/>
      <c r="I9" s="224"/>
      <c r="J9" s="227"/>
      <c r="K9" s="227"/>
      <c r="L9" s="227"/>
      <c r="M9" s="222"/>
    </row>
    <row r="10" spans="1:14">
      <c r="A10" s="222" t="s">
        <v>186</v>
      </c>
      <c r="B10" s="222"/>
      <c r="C10" s="223">
        <v>0</v>
      </c>
      <c r="D10" s="224"/>
      <c r="E10" s="223">
        <v>0</v>
      </c>
      <c r="F10" s="224"/>
      <c r="G10" s="225">
        <f>C10+E10</f>
        <v>0</v>
      </c>
      <c r="H10" s="224"/>
      <c r="I10" s="224">
        <v>0</v>
      </c>
      <c r="J10" s="225">
        <v>0</v>
      </c>
      <c r="K10" s="227"/>
      <c r="L10" s="225">
        <f>G10-I10-J10</f>
        <v>0</v>
      </c>
      <c r="M10" s="222"/>
    </row>
    <row r="11" spans="1:14">
      <c r="A11" s="222" t="s">
        <v>187</v>
      </c>
      <c r="B11" s="222"/>
      <c r="C11" s="223">
        <v>0</v>
      </c>
      <c r="D11" s="224"/>
      <c r="E11" s="223">
        <v>0</v>
      </c>
      <c r="F11" s="224"/>
      <c r="G11" s="225">
        <f t="shared" ref="G11:G18" si="0">C11+E11</f>
        <v>0</v>
      </c>
      <c r="H11" s="224"/>
      <c r="I11" s="224"/>
      <c r="J11" s="225">
        <v>0</v>
      </c>
      <c r="K11" s="227"/>
      <c r="L11" s="225">
        <f t="shared" ref="L11:L19" si="1">G11-I11-J11</f>
        <v>0</v>
      </c>
      <c r="M11" s="222"/>
    </row>
    <row r="12" spans="1:14">
      <c r="A12" s="222" t="s">
        <v>188</v>
      </c>
      <c r="B12" s="222"/>
      <c r="C12" s="223">
        <v>0</v>
      </c>
      <c r="D12" s="224"/>
      <c r="E12" s="223">
        <v>0</v>
      </c>
      <c r="F12" s="224"/>
      <c r="G12" s="225">
        <f t="shared" si="0"/>
        <v>0</v>
      </c>
      <c r="H12" s="224"/>
      <c r="I12" s="224">
        <v>0</v>
      </c>
      <c r="J12" s="225">
        <v>0</v>
      </c>
      <c r="K12" s="227"/>
      <c r="L12" s="225">
        <f t="shared" si="1"/>
        <v>0</v>
      </c>
      <c r="M12" s="222"/>
    </row>
    <row r="13" spans="1:14">
      <c r="A13" s="222" t="s">
        <v>137</v>
      </c>
      <c r="B13" s="222"/>
      <c r="C13" s="223">
        <v>0</v>
      </c>
      <c r="D13" s="224"/>
      <c r="E13" s="223">
        <v>0</v>
      </c>
      <c r="F13" s="224"/>
      <c r="G13" s="225">
        <f t="shared" si="0"/>
        <v>0</v>
      </c>
      <c r="H13" s="224"/>
      <c r="I13" s="224">
        <v>0</v>
      </c>
      <c r="J13" s="225">
        <v>0</v>
      </c>
      <c r="K13" s="227"/>
      <c r="L13" s="225">
        <f t="shared" si="1"/>
        <v>0</v>
      </c>
      <c r="M13" s="222"/>
    </row>
    <row r="14" spans="1:14">
      <c r="A14" s="222" t="s">
        <v>189</v>
      </c>
      <c r="B14" s="222"/>
      <c r="C14" s="223">
        <v>0</v>
      </c>
      <c r="D14" s="224"/>
      <c r="E14" s="223">
        <v>0</v>
      </c>
      <c r="F14" s="224"/>
      <c r="G14" s="225">
        <f t="shared" si="0"/>
        <v>0</v>
      </c>
      <c r="H14" s="224"/>
      <c r="I14" s="224"/>
      <c r="J14" s="225">
        <v>0</v>
      </c>
      <c r="K14" s="227"/>
      <c r="L14" s="225">
        <f t="shared" si="1"/>
        <v>0</v>
      </c>
      <c r="M14" s="222"/>
    </row>
    <row r="15" spans="1:14" hidden="1">
      <c r="A15" s="222" t="s">
        <v>190</v>
      </c>
      <c r="B15" s="222"/>
      <c r="C15" s="223">
        <v>0</v>
      </c>
      <c r="D15" s="224"/>
      <c r="E15" s="223">
        <v>0</v>
      </c>
      <c r="F15" s="224"/>
      <c r="G15" s="225">
        <f t="shared" si="0"/>
        <v>0</v>
      </c>
      <c r="H15" s="224"/>
      <c r="I15" s="224"/>
      <c r="J15" s="225">
        <v>0</v>
      </c>
      <c r="K15" s="227"/>
      <c r="L15" s="225">
        <f t="shared" si="1"/>
        <v>0</v>
      </c>
      <c r="M15" s="222"/>
    </row>
    <row r="16" spans="1:14" hidden="1">
      <c r="A16" s="222" t="s">
        <v>191</v>
      </c>
      <c r="B16" s="222"/>
      <c r="C16" s="223">
        <v>0</v>
      </c>
      <c r="D16" s="224"/>
      <c r="E16" s="223">
        <v>0</v>
      </c>
      <c r="F16" s="224"/>
      <c r="G16" s="225">
        <f t="shared" si="0"/>
        <v>0</v>
      </c>
      <c r="H16" s="224"/>
      <c r="I16" s="224"/>
      <c r="J16" s="225">
        <v>0</v>
      </c>
      <c r="K16" s="227"/>
      <c r="L16" s="225">
        <f t="shared" si="1"/>
        <v>0</v>
      </c>
      <c r="M16" s="222"/>
    </row>
    <row r="17" spans="1:13" hidden="1">
      <c r="A17" s="222" t="s">
        <v>111</v>
      </c>
      <c r="B17" s="222"/>
      <c r="C17" s="223">
        <v>0</v>
      </c>
      <c r="D17" s="224"/>
      <c r="E17" s="223">
        <v>0</v>
      </c>
      <c r="F17" s="224"/>
      <c r="G17" s="225">
        <f t="shared" si="0"/>
        <v>0</v>
      </c>
      <c r="H17" s="224"/>
      <c r="I17" s="224"/>
      <c r="J17" s="225">
        <v>0</v>
      </c>
      <c r="K17" s="227"/>
      <c r="L17" s="225">
        <f t="shared" si="1"/>
        <v>0</v>
      </c>
      <c r="M17" s="222"/>
    </row>
    <row r="18" spans="1:13" hidden="1">
      <c r="A18" s="222" t="s">
        <v>192</v>
      </c>
      <c r="B18" s="222"/>
      <c r="C18" s="223">
        <v>0</v>
      </c>
      <c r="D18" s="224"/>
      <c r="E18" s="223">
        <v>0</v>
      </c>
      <c r="F18" s="224"/>
      <c r="G18" s="225">
        <f t="shared" si="0"/>
        <v>0</v>
      </c>
      <c r="H18" s="224"/>
      <c r="I18" s="224"/>
      <c r="J18" s="225">
        <v>0</v>
      </c>
      <c r="K18" s="227"/>
      <c r="L18" s="225">
        <f t="shared" si="1"/>
        <v>0</v>
      </c>
      <c r="M18" s="222"/>
    </row>
    <row r="19" spans="1:13">
      <c r="A19" s="44" t="s">
        <v>90</v>
      </c>
      <c r="B19" s="222"/>
      <c r="C19" s="229">
        <f>SUM(C10:C18)</f>
        <v>0</v>
      </c>
      <c r="D19" s="224"/>
      <c r="E19" s="229">
        <f>SUM(E10:E18)</f>
        <v>0</v>
      </c>
      <c r="F19" s="224"/>
      <c r="G19" s="229">
        <f>SUM(G10:G18)</f>
        <v>0</v>
      </c>
      <c r="H19" s="224"/>
      <c r="I19" s="229">
        <f>SUM(I10:I18)</f>
        <v>0</v>
      </c>
      <c r="J19" s="229">
        <f>SUM(J10:J18)</f>
        <v>0</v>
      </c>
      <c r="K19" s="224"/>
      <c r="L19" s="230">
        <f t="shared" si="1"/>
        <v>0</v>
      </c>
      <c r="M19" s="222"/>
    </row>
    <row r="20" spans="1:13">
      <c r="A20" s="44" t="s">
        <v>91</v>
      </c>
      <c r="B20" s="222"/>
      <c r="C20" s="229">
        <f>C8-C19</f>
        <v>0</v>
      </c>
      <c r="D20" s="224"/>
      <c r="E20" s="224"/>
      <c r="F20" s="224"/>
      <c r="G20" s="229">
        <f>G8-G19</f>
        <v>0</v>
      </c>
      <c r="H20" s="224"/>
      <c r="I20" s="224"/>
      <c r="J20" s="224"/>
      <c r="K20" s="224"/>
      <c r="L20" s="224"/>
      <c r="M20" s="222"/>
    </row>
    <row r="21" spans="1:13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26"/>
  <sheetViews>
    <sheetView zoomScale="140" zoomScaleNormal="140" workbookViewId="0">
      <selection activeCell="B11" sqref="B11"/>
    </sheetView>
  </sheetViews>
  <sheetFormatPr defaultRowHeight="15"/>
  <cols>
    <col min="1" max="1" width="38.7109375" customWidth="1"/>
    <col min="2" max="2" width="13" customWidth="1"/>
    <col min="3" max="3" width="11" customWidth="1"/>
    <col min="4" max="4" width="11.5703125" customWidth="1"/>
    <col min="5" max="5" width="0.5703125" customWidth="1"/>
    <col min="6" max="6" width="11" customWidth="1"/>
    <col min="7" max="7" width="0" hidden="1" customWidth="1"/>
  </cols>
  <sheetData>
    <row r="1" spans="1:10">
      <c r="A1" s="279" t="s">
        <v>193</v>
      </c>
      <c r="B1" s="279"/>
      <c r="C1" s="279"/>
      <c r="D1" s="279"/>
      <c r="E1" s="279"/>
      <c r="F1" s="279"/>
    </row>
    <row r="2" spans="1:10">
      <c r="A2" s="279" t="s">
        <v>194</v>
      </c>
      <c r="B2" s="279"/>
      <c r="C2" s="279"/>
      <c r="D2" s="279"/>
      <c r="E2" s="279"/>
      <c r="F2" s="279"/>
    </row>
    <row r="3" spans="1:10">
      <c r="A3" s="279" t="s">
        <v>195</v>
      </c>
      <c r="B3" s="279"/>
      <c r="C3" s="279"/>
      <c r="D3" s="279"/>
      <c r="E3" s="279"/>
      <c r="F3" s="279"/>
    </row>
    <row r="5" spans="1:10" ht="15.75" thickBot="1">
      <c r="B5" s="1"/>
    </row>
    <row r="6" spans="1:10" ht="30.75" thickBot="1">
      <c r="A6" s="48" t="s">
        <v>196</v>
      </c>
      <c r="B6" s="49" t="s">
        <v>197</v>
      </c>
      <c r="C6" s="50" t="s">
        <v>198</v>
      </c>
      <c r="D6" s="50" t="s">
        <v>199</v>
      </c>
      <c r="E6" s="70"/>
      <c r="F6" s="51" t="s">
        <v>200</v>
      </c>
    </row>
    <row r="7" spans="1:10" ht="18" customHeight="1">
      <c r="A7" s="52" t="s">
        <v>201</v>
      </c>
      <c r="B7" s="53">
        <f>Referendums!E18</f>
        <v>155742.185</v>
      </c>
      <c r="C7" s="54">
        <f>B7/+B$16</f>
        <v>0.29947708484896129</v>
      </c>
      <c r="D7" s="55">
        <f>80000*C7</f>
        <v>23958.166787916904</v>
      </c>
      <c r="E7" s="71"/>
      <c r="F7" s="56">
        <v>24000</v>
      </c>
      <c r="G7" s="41">
        <f>ROUNDUP(D7,-2)</f>
        <v>24000</v>
      </c>
      <c r="J7" s="37"/>
    </row>
    <row r="8" spans="1:10" ht="18" customHeight="1">
      <c r="A8" s="57" t="s">
        <v>202</v>
      </c>
      <c r="B8" s="58">
        <f>Referendums!E29</f>
        <v>157707.29999999999</v>
      </c>
      <c r="C8" s="59">
        <f t="shared" ref="C8:C15" si="0">B8/+B$16</f>
        <v>0.30325581000035789</v>
      </c>
      <c r="D8" s="60">
        <f t="shared" ref="D8:D15" si="1">80000*C8</f>
        <v>24260.464800028632</v>
      </c>
      <c r="E8" s="72"/>
      <c r="F8" s="61">
        <v>24200</v>
      </c>
      <c r="G8" s="41">
        <f>ROUNDDOWN(D8,-2)</f>
        <v>24200</v>
      </c>
      <c r="J8" s="37"/>
    </row>
    <row r="9" spans="1:10" ht="18" customHeight="1">
      <c r="A9" s="62" t="s">
        <v>203</v>
      </c>
      <c r="B9" s="58">
        <f>Referendums!E40</f>
        <v>38309.5</v>
      </c>
      <c r="C9" s="59">
        <f t="shared" si="0"/>
        <v>7.3665445120224063E-2</v>
      </c>
      <c r="D9" s="60">
        <f t="shared" si="1"/>
        <v>5893.2356096179246</v>
      </c>
      <c r="E9" s="72"/>
      <c r="F9" s="61">
        <v>5900</v>
      </c>
      <c r="G9" s="41">
        <f t="shared" ref="G9:G14" si="2">ROUNDUP(D9,-2)</f>
        <v>5900</v>
      </c>
      <c r="J9" s="37"/>
    </row>
    <row r="10" spans="1:10" ht="18" customHeight="1">
      <c r="A10" s="57" t="s">
        <v>204</v>
      </c>
      <c r="B10" s="63">
        <f>Referendums!E52</f>
        <v>28002.400000000001</v>
      </c>
      <c r="C10" s="59">
        <f t="shared" si="0"/>
        <v>5.3845893588654575E-2</v>
      </c>
      <c r="D10" s="60">
        <f t="shared" si="1"/>
        <v>4307.6714870923661</v>
      </c>
      <c r="E10" s="72"/>
      <c r="F10" s="64">
        <v>4300</v>
      </c>
      <c r="G10" s="41">
        <f>ROUNDDOWN(D10,-2)</f>
        <v>4300</v>
      </c>
      <c r="J10" s="37"/>
    </row>
    <row r="11" spans="1:10" ht="18" customHeight="1">
      <c r="A11" s="62" t="s">
        <v>205</v>
      </c>
      <c r="B11" s="58">
        <f>Referendums!E64</f>
        <v>22985.699999999997</v>
      </c>
      <c r="C11" s="59">
        <f t="shared" si="0"/>
        <v>4.4199267072134431E-2</v>
      </c>
      <c r="D11" s="60">
        <f t="shared" si="1"/>
        <v>3535.9413657707546</v>
      </c>
      <c r="E11" s="72"/>
      <c r="F11" s="64">
        <v>3500</v>
      </c>
      <c r="G11" s="41">
        <f>ROUNDDOWN(D11,-2)</f>
        <v>3500</v>
      </c>
      <c r="J11" s="37"/>
    </row>
    <row r="12" spans="1:10" ht="18" customHeight="1">
      <c r="A12" s="62" t="s">
        <v>206</v>
      </c>
      <c r="B12" s="58">
        <f>Referendums!E75</f>
        <v>30647.599999999999</v>
      </c>
      <c r="C12" s="59">
        <f t="shared" si="0"/>
        <v>5.893235609617925E-2</v>
      </c>
      <c r="D12" s="60">
        <f t="shared" si="1"/>
        <v>4714.5884876943401</v>
      </c>
      <c r="E12" s="72"/>
      <c r="F12" s="64">
        <v>4700</v>
      </c>
      <c r="G12" s="41">
        <f>ROUNDDOWN(D12,-2)</f>
        <v>4700</v>
      </c>
      <c r="J12" s="37"/>
    </row>
    <row r="13" spans="1:10" ht="18" customHeight="1">
      <c r="A13" s="62" t="s">
        <v>207</v>
      </c>
      <c r="B13" s="58">
        <f>Referendums!E86</f>
        <v>15323.8</v>
      </c>
      <c r="C13" s="59">
        <f t="shared" si="0"/>
        <v>2.9466178048089625E-2</v>
      </c>
      <c r="D13" s="60">
        <f t="shared" si="1"/>
        <v>2357.29424384717</v>
      </c>
      <c r="E13" s="72"/>
      <c r="F13" s="64">
        <v>2400</v>
      </c>
      <c r="G13" s="41">
        <f t="shared" si="2"/>
        <v>2400</v>
      </c>
      <c r="J13" s="37"/>
    </row>
    <row r="14" spans="1:10" ht="18" customHeight="1">
      <c r="A14" s="57" t="s">
        <v>208</v>
      </c>
      <c r="B14" s="58">
        <f>Referendums!E97</f>
        <v>45971.399999999994</v>
      </c>
      <c r="C14" s="59">
        <f t="shared" si="0"/>
        <v>8.8398534144268862E-2</v>
      </c>
      <c r="D14" s="60">
        <f t="shared" si="1"/>
        <v>7071.8827315415092</v>
      </c>
      <c r="E14" s="72"/>
      <c r="F14" s="64">
        <v>7100</v>
      </c>
      <c r="G14" s="41">
        <f t="shared" si="2"/>
        <v>7100</v>
      </c>
      <c r="J14" s="37"/>
    </row>
    <row r="15" spans="1:10" ht="18" customHeight="1">
      <c r="A15" s="62" t="s">
        <v>209</v>
      </c>
      <c r="B15" s="58">
        <f>Referendums!E109</f>
        <v>25357.199999999997</v>
      </c>
      <c r="C15" s="59">
        <f t="shared" si="0"/>
        <v>4.8759431081129886E-2</v>
      </c>
      <c r="D15" s="60">
        <f t="shared" si="1"/>
        <v>3900.7544864903907</v>
      </c>
      <c r="E15" s="72"/>
      <c r="F15" s="64">
        <v>3900</v>
      </c>
      <c r="G15" s="41">
        <f>ROUNDDOWN(D15,-2)</f>
        <v>3900</v>
      </c>
      <c r="J15" s="37"/>
    </row>
    <row r="16" spans="1:10" ht="18" customHeight="1" thickBot="1">
      <c r="A16" s="65" t="s">
        <v>210</v>
      </c>
      <c r="B16" s="66">
        <f>SUM(B7:B15)</f>
        <v>520047.08500000002</v>
      </c>
      <c r="C16" s="67"/>
      <c r="D16" s="68">
        <f>SUM(D7:D15)</f>
        <v>80000</v>
      </c>
      <c r="E16" s="73"/>
      <c r="F16" s="69">
        <f>SUM(F7:F15)</f>
        <v>80000</v>
      </c>
    </row>
    <row r="17" spans="1:2">
      <c r="A17" s="2"/>
      <c r="B17" s="30"/>
    </row>
    <row r="18" spans="1:2">
      <c r="B18" s="30"/>
    </row>
    <row r="19" spans="1:2">
      <c r="B19" s="30"/>
    </row>
    <row r="20" spans="1:2">
      <c r="B20" s="30"/>
    </row>
    <row r="21" spans="1:2">
      <c r="B21" s="30"/>
    </row>
    <row r="22" spans="1:2">
      <c r="B22" s="30"/>
    </row>
    <row r="23" spans="1:2">
      <c r="B23" s="30"/>
    </row>
    <row r="24" spans="1:2">
      <c r="B24" s="30"/>
    </row>
    <row r="25" spans="1:2">
      <c r="B25" s="30"/>
    </row>
    <row r="26" spans="1:2">
      <c r="B26" s="30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110"/>
  <sheetViews>
    <sheetView zoomScaleNormal="100" workbookViewId="0">
      <selection activeCell="R29" sqref="R29"/>
    </sheetView>
  </sheetViews>
  <sheetFormatPr defaultRowHeight="15"/>
  <cols>
    <col min="3" max="3" width="28.5703125" bestFit="1" customWidth="1"/>
    <col min="4" max="4" width="8.42578125" style="8" customWidth="1"/>
    <col min="5" max="5" width="11.5703125" style="26" bestFit="1" customWidth="1"/>
    <col min="6" max="6" width="2.85546875" customWidth="1"/>
    <col min="7" max="7" width="15.7109375" hidden="1" customWidth="1"/>
    <col min="8" max="8" width="11.5703125" bestFit="1" customWidth="1"/>
    <col min="10" max="10" width="11.5703125" bestFit="1" customWidth="1"/>
  </cols>
  <sheetData>
    <row r="1" spans="1:7" ht="15.75">
      <c r="A1" s="16" t="s">
        <v>211</v>
      </c>
      <c r="B1" s="16"/>
      <c r="C1" s="16"/>
      <c r="D1" s="17"/>
      <c r="E1" s="18"/>
    </row>
    <row r="2" spans="1:7">
      <c r="A2" s="9" t="s">
        <v>212</v>
      </c>
      <c r="B2" s="9"/>
      <c r="C2" s="9"/>
      <c r="D2" s="14"/>
      <c r="E2" s="19"/>
    </row>
    <row r="3" spans="1:7">
      <c r="A3" s="9" t="s">
        <v>213</v>
      </c>
      <c r="B3" s="9"/>
      <c r="C3" s="9"/>
      <c r="D3" s="14"/>
      <c r="E3" s="19"/>
    </row>
    <row r="4" spans="1:7">
      <c r="E4" s="20"/>
    </row>
    <row r="5" spans="1:7">
      <c r="A5" s="9" t="s">
        <v>214</v>
      </c>
      <c r="E5" s="20"/>
    </row>
    <row r="6" spans="1:7">
      <c r="E6" s="20"/>
    </row>
    <row r="7" spans="1:7">
      <c r="A7" s="9" t="s">
        <v>215</v>
      </c>
      <c r="B7" s="9"/>
      <c r="C7" s="9"/>
      <c r="D7" s="14"/>
      <c r="E7" s="19"/>
      <c r="G7" s="7" t="s">
        <v>216</v>
      </c>
    </row>
    <row r="8" spans="1:7">
      <c r="B8" t="s">
        <v>217</v>
      </c>
      <c r="E8" s="20"/>
    </row>
    <row r="9" spans="1:7">
      <c r="B9" s="14"/>
      <c r="C9" t="s">
        <v>218</v>
      </c>
      <c r="D9" s="22">
        <f>Enrollment!J9</f>
        <v>1343</v>
      </c>
      <c r="E9" s="21">
        <f>D9*'Fee Breakdown'!C10</f>
        <v>20145</v>
      </c>
    </row>
    <row r="10" spans="1:7">
      <c r="B10" t="s">
        <v>219</v>
      </c>
      <c r="E10" s="20"/>
    </row>
    <row r="11" spans="1:7">
      <c r="B11" s="8"/>
      <c r="C11" t="s">
        <v>220</v>
      </c>
      <c r="D11" s="22">
        <f>Enrollment!J13</f>
        <v>2521.9499999999998</v>
      </c>
      <c r="E11" s="47">
        <f>D11*'Fee Breakdown'!E10</f>
        <v>53339.242499999993</v>
      </c>
    </row>
    <row r="12" spans="1:7">
      <c r="B12" s="8"/>
      <c r="C12" t="s">
        <v>221</v>
      </c>
      <c r="D12" s="22">
        <f>Enrollment!J14</f>
        <v>1546.1499999999999</v>
      </c>
      <c r="E12" s="21">
        <f>D12*'Fee Breakdown'!G10</f>
        <v>17239.572499999998</v>
      </c>
    </row>
    <row r="13" spans="1:7">
      <c r="C13" s="8" t="s">
        <v>222</v>
      </c>
      <c r="E13" s="23">
        <f>SUM(E11:E12)</f>
        <v>70578.814999999988</v>
      </c>
    </row>
    <row r="14" spans="1:7">
      <c r="B14" t="s">
        <v>223</v>
      </c>
      <c r="E14" s="20"/>
    </row>
    <row r="15" spans="1:7">
      <c r="B15" s="14"/>
      <c r="C15" t="s">
        <v>220</v>
      </c>
      <c r="D15" s="22">
        <f>Enrollment!J18</f>
        <v>2494.75</v>
      </c>
      <c r="E15" s="47">
        <f>D15*'Fee Breakdown'!E10</f>
        <v>52763.962499999994</v>
      </c>
    </row>
    <row r="16" spans="1:7">
      <c r="B16" s="14"/>
      <c r="C16" t="s">
        <v>221</v>
      </c>
      <c r="D16" s="22">
        <f>Enrollment!J19</f>
        <v>1099.05</v>
      </c>
      <c r="E16" s="21">
        <f>D16*'Fee Breakdown'!G10</f>
        <v>12254.407499999999</v>
      </c>
    </row>
    <row r="17" spans="1:7">
      <c r="A17" s="9"/>
      <c r="E17" s="20">
        <f>SUM(E15:E16)</f>
        <v>65018.369999999995</v>
      </c>
    </row>
    <row r="18" spans="1:7">
      <c r="B18" s="9" t="s">
        <v>224</v>
      </c>
      <c r="D18" s="14"/>
      <c r="E18" s="24">
        <f>E9+E13+E17</f>
        <v>155742.185</v>
      </c>
      <c r="G18" s="4">
        <f>E18*30%</f>
        <v>46722.655500000001</v>
      </c>
    </row>
    <row r="19" spans="1:7">
      <c r="B19" s="9"/>
      <c r="D19" s="14"/>
      <c r="E19" s="19"/>
    </row>
    <row r="20" spans="1:7">
      <c r="A20" s="9" t="s">
        <v>225</v>
      </c>
      <c r="B20" s="9"/>
      <c r="C20" s="9"/>
      <c r="D20" s="14"/>
      <c r="E20" s="19"/>
    </row>
    <row r="21" spans="1:7">
      <c r="B21" t="s">
        <v>219</v>
      </c>
      <c r="E21" s="20"/>
    </row>
    <row r="22" spans="1:7">
      <c r="B22" s="8"/>
      <c r="C22" t="s">
        <v>226</v>
      </c>
      <c r="D22" s="22">
        <f>Enrollment!J13</f>
        <v>2521.9499999999998</v>
      </c>
      <c r="E22" s="20">
        <f>D22*'Fee Breakdown'!E11</f>
        <v>58004.85</v>
      </c>
    </row>
    <row r="23" spans="1:7">
      <c r="B23" s="8"/>
      <c r="C23" t="s">
        <v>227</v>
      </c>
      <c r="D23" s="22">
        <f>Enrollment!J14</f>
        <v>1546.1499999999999</v>
      </c>
      <c r="E23" s="21">
        <f>D23*'Fee Breakdown'!G11</f>
        <v>24738.399999999998</v>
      </c>
    </row>
    <row r="24" spans="1:7">
      <c r="C24" s="8" t="s">
        <v>222</v>
      </c>
      <c r="E24" s="23">
        <f>SUM(E22:E23)</f>
        <v>82743.25</v>
      </c>
    </row>
    <row r="25" spans="1:7">
      <c r="B25" t="s">
        <v>223</v>
      </c>
      <c r="E25" s="20"/>
    </row>
    <row r="26" spans="1:7">
      <c r="B26" s="8"/>
      <c r="C26" t="s">
        <v>226</v>
      </c>
      <c r="D26" s="22">
        <f>Enrollment!J18</f>
        <v>2494.75</v>
      </c>
      <c r="E26" s="20">
        <f>D26*'Fee Breakdown'!E11</f>
        <v>57379.25</v>
      </c>
    </row>
    <row r="27" spans="1:7">
      <c r="B27" s="8"/>
      <c r="C27" t="s">
        <v>227</v>
      </c>
      <c r="D27" s="22">
        <f>Enrollment!J19</f>
        <v>1099.05</v>
      </c>
      <c r="E27" s="21">
        <f>D27*'Fee Breakdown'!G11</f>
        <v>17584.8</v>
      </c>
    </row>
    <row r="28" spans="1:7">
      <c r="E28" s="23">
        <f>SUM(E26:E27)</f>
        <v>74964.05</v>
      </c>
    </row>
    <row r="29" spans="1:7">
      <c r="B29" s="6" t="s">
        <v>228</v>
      </c>
      <c r="C29" s="6"/>
      <c r="D29" s="25"/>
      <c r="E29" s="74">
        <f>E24+E28</f>
        <v>157707.29999999999</v>
      </c>
      <c r="G29" s="4">
        <f>E29*30%</f>
        <v>47312.189999999995</v>
      </c>
    </row>
    <row r="30" spans="1:7">
      <c r="E30" s="20"/>
    </row>
    <row r="31" spans="1:7">
      <c r="A31" s="9" t="s">
        <v>229</v>
      </c>
      <c r="E31" s="20"/>
    </row>
    <row r="32" spans="1:7">
      <c r="B32" t="s">
        <v>219</v>
      </c>
      <c r="E32" s="20"/>
    </row>
    <row r="33" spans="1:7">
      <c r="C33" t="s">
        <v>230</v>
      </c>
      <c r="D33" s="22">
        <f>Enrollment!J13</f>
        <v>2521.9499999999998</v>
      </c>
      <c r="E33" s="20">
        <f>D33*'Fee Breakdown'!E12</f>
        <v>12609.75</v>
      </c>
    </row>
    <row r="34" spans="1:7">
      <c r="C34" t="s">
        <v>231</v>
      </c>
      <c r="D34" s="22">
        <f>Enrollment!J14</f>
        <v>1546.1499999999999</v>
      </c>
      <c r="E34" s="21">
        <f>D34*'Fee Breakdown'!G12</f>
        <v>7730.7499999999991</v>
      </c>
    </row>
    <row r="35" spans="1:7">
      <c r="E35" s="23">
        <f>SUM(E33:E34)</f>
        <v>20340.5</v>
      </c>
    </row>
    <row r="36" spans="1:7">
      <c r="B36" t="s">
        <v>223</v>
      </c>
      <c r="E36" s="20"/>
    </row>
    <row r="37" spans="1:7">
      <c r="B37" s="8"/>
      <c r="C37" t="s">
        <v>230</v>
      </c>
      <c r="D37" s="22">
        <f>Enrollment!J18</f>
        <v>2494.75</v>
      </c>
      <c r="E37" s="20">
        <f>D37*'Fee Breakdown'!E12</f>
        <v>12473.75</v>
      </c>
    </row>
    <row r="38" spans="1:7">
      <c r="B38" s="8"/>
      <c r="C38" t="s">
        <v>231</v>
      </c>
      <c r="D38" s="22">
        <f>Enrollment!J19</f>
        <v>1099.05</v>
      </c>
      <c r="E38" s="21">
        <f>D38*'Fee Breakdown'!G12</f>
        <v>5495.25</v>
      </c>
    </row>
    <row r="39" spans="1:7">
      <c r="E39" s="23">
        <f>SUM(E37:E38)</f>
        <v>17969</v>
      </c>
    </row>
    <row r="40" spans="1:7">
      <c r="B40" s="6" t="s">
        <v>232</v>
      </c>
      <c r="C40" s="6"/>
      <c r="D40" s="25"/>
      <c r="E40" s="74">
        <f>E35+E39</f>
        <v>38309.5</v>
      </c>
      <c r="G40" s="4">
        <f>E40*30%</f>
        <v>11492.85</v>
      </c>
    </row>
    <row r="41" spans="1:7">
      <c r="A41" s="9"/>
      <c r="B41" s="9"/>
      <c r="C41" s="9"/>
      <c r="D41" s="14"/>
      <c r="E41" s="19"/>
    </row>
    <row r="42" spans="1:7">
      <c r="A42" s="9"/>
      <c r="B42" s="9"/>
      <c r="C42" s="9"/>
      <c r="D42" s="14"/>
      <c r="E42" s="19"/>
    </row>
    <row r="43" spans="1:7">
      <c r="A43" s="9" t="s">
        <v>233</v>
      </c>
      <c r="E43" s="20"/>
    </row>
    <row r="44" spans="1:7">
      <c r="B44" t="s">
        <v>219</v>
      </c>
      <c r="E44" s="20"/>
    </row>
    <row r="45" spans="1:7">
      <c r="C45" t="s">
        <v>234</v>
      </c>
      <c r="D45" s="22">
        <f>Enrollment!J13</f>
        <v>2521.9499999999998</v>
      </c>
      <c r="E45" s="20">
        <f>D45*'Fee Breakdown'!E13</f>
        <v>10087.799999999999</v>
      </c>
    </row>
    <row r="46" spans="1:7">
      <c r="C46" t="s">
        <v>235</v>
      </c>
      <c r="D46" s="22">
        <f>Enrollment!J14</f>
        <v>1546.1499999999999</v>
      </c>
      <c r="E46" s="21">
        <f>D46*'Fee Breakdown'!G13</f>
        <v>4638.45</v>
      </c>
    </row>
    <row r="47" spans="1:7">
      <c r="E47" s="23">
        <f>SUM(E45:E46)</f>
        <v>14726.25</v>
      </c>
    </row>
    <row r="48" spans="1:7">
      <c r="B48" t="s">
        <v>223</v>
      </c>
      <c r="E48" s="20"/>
    </row>
    <row r="49" spans="1:7">
      <c r="B49" s="8"/>
      <c r="C49" t="s">
        <v>234</v>
      </c>
      <c r="D49" s="22">
        <f>Enrollment!J18</f>
        <v>2494.75</v>
      </c>
      <c r="E49" s="20">
        <f>D49*'Fee Breakdown'!E13</f>
        <v>9979</v>
      </c>
    </row>
    <row r="50" spans="1:7">
      <c r="B50" s="8"/>
      <c r="C50" t="s">
        <v>235</v>
      </c>
      <c r="D50" s="22">
        <f>Enrollment!J19</f>
        <v>1099.05</v>
      </c>
      <c r="E50" s="21">
        <f>D50*'Fee Breakdown'!G13</f>
        <v>3297.1499999999996</v>
      </c>
    </row>
    <row r="51" spans="1:7">
      <c r="E51" s="21">
        <f>SUM(E49:E50)</f>
        <v>13276.15</v>
      </c>
    </row>
    <row r="52" spans="1:7" ht="21" customHeight="1">
      <c r="B52" s="9" t="s">
        <v>236</v>
      </c>
      <c r="C52" s="6"/>
      <c r="D52" s="25"/>
      <c r="E52" s="74">
        <f>E47+E51</f>
        <v>28002.400000000001</v>
      </c>
      <c r="G52" s="4">
        <f>E52*30%</f>
        <v>8400.7199999999993</v>
      </c>
    </row>
    <row r="53" spans="1:7">
      <c r="A53" s="9"/>
      <c r="B53" s="9"/>
      <c r="C53" s="9"/>
      <c r="D53" s="14"/>
      <c r="E53" s="19"/>
    </row>
    <row r="54" spans="1:7">
      <c r="A54" s="9"/>
      <c r="B54" s="9"/>
      <c r="C54" s="9"/>
      <c r="D54" s="14"/>
      <c r="E54" s="19"/>
    </row>
    <row r="55" spans="1:7">
      <c r="A55" s="9" t="s">
        <v>237</v>
      </c>
      <c r="E55" s="20"/>
    </row>
    <row r="56" spans="1:7">
      <c r="B56" t="s">
        <v>219</v>
      </c>
      <c r="E56" s="20"/>
    </row>
    <row r="57" spans="1:7">
      <c r="C57" t="s">
        <v>238</v>
      </c>
      <c r="D57" s="22">
        <f>Enrollment!J13</f>
        <v>2521.9499999999998</v>
      </c>
      <c r="E57" s="20">
        <f>D57*'Fee Breakdown'!E14</f>
        <v>7565.8499999999995</v>
      </c>
    </row>
    <row r="58" spans="1:7">
      <c r="C58" t="s">
        <v>235</v>
      </c>
      <c r="D58" s="22">
        <f>Enrollment!J14</f>
        <v>1546.1499999999999</v>
      </c>
      <c r="E58" s="21">
        <f>D58*'Fee Breakdown'!G14</f>
        <v>4638.45</v>
      </c>
    </row>
    <row r="59" spans="1:7">
      <c r="E59" s="23">
        <f>SUM(E57:E58)</f>
        <v>12204.3</v>
      </c>
    </row>
    <row r="60" spans="1:7">
      <c r="B60" t="s">
        <v>223</v>
      </c>
      <c r="E60" s="20"/>
    </row>
    <row r="61" spans="1:7">
      <c r="B61" s="8"/>
      <c r="C61" t="s">
        <v>238</v>
      </c>
      <c r="D61" s="22">
        <f>Enrollment!J18</f>
        <v>2494.75</v>
      </c>
      <c r="E61" s="20">
        <f>D61*'Fee Breakdown'!E14</f>
        <v>7484.25</v>
      </c>
    </row>
    <row r="62" spans="1:7">
      <c r="B62" s="8"/>
      <c r="C62" t="s">
        <v>235</v>
      </c>
      <c r="D62" s="22">
        <f>Enrollment!J19</f>
        <v>1099.05</v>
      </c>
      <c r="E62" s="21">
        <f>D62*'Fee Breakdown'!G14</f>
        <v>3297.1499999999996</v>
      </c>
    </row>
    <row r="63" spans="1:7">
      <c r="E63" s="21">
        <f>SUM(E61:E62)</f>
        <v>10781.4</v>
      </c>
    </row>
    <row r="64" spans="1:7" ht="21" customHeight="1">
      <c r="B64" s="9" t="s">
        <v>239</v>
      </c>
      <c r="C64" s="6"/>
      <c r="D64" s="25"/>
      <c r="E64" s="74">
        <f>E59+E63</f>
        <v>22985.699999999997</v>
      </c>
      <c r="G64" s="4">
        <f>E64*30%</f>
        <v>6895.7099999999991</v>
      </c>
    </row>
    <row r="65" spans="1:10">
      <c r="A65" s="9"/>
      <c r="B65" s="9"/>
      <c r="C65" s="9"/>
      <c r="D65" s="14"/>
      <c r="E65" s="19"/>
    </row>
    <row r="66" spans="1:10">
      <c r="A66" s="9" t="s">
        <v>240</v>
      </c>
      <c r="E66" s="20"/>
    </row>
    <row r="67" spans="1:10">
      <c r="B67" t="s">
        <v>219</v>
      </c>
      <c r="E67" s="20"/>
    </row>
    <row r="68" spans="1:10">
      <c r="C68" t="s">
        <v>234</v>
      </c>
      <c r="D68" s="22">
        <f>Enrollment!J13</f>
        <v>2521.9499999999998</v>
      </c>
      <c r="E68" s="20">
        <f>D68*'Fee Breakdown'!E15</f>
        <v>10087.799999999999</v>
      </c>
      <c r="J68" s="37"/>
    </row>
    <row r="69" spans="1:10">
      <c r="C69" t="s">
        <v>241</v>
      </c>
      <c r="D69" s="22">
        <f>Enrollment!J14</f>
        <v>1546.1499999999999</v>
      </c>
      <c r="E69" s="21">
        <f>D69*'Fee Breakdown'!G15</f>
        <v>6184.5999999999995</v>
      </c>
      <c r="J69" s="37"/>
    </row>
    <row r="70" spans="1:10">
      <c r="E70" s="23">
        <f>SUM(E68:E69)</f>
        <v>16272.399999999998</v>
      </c>
      <c r="J70" s="37"/>
    </row>
    <row r="71" spans="1:10">
      <c r="B71" t="s">
        <v>223</v>
      </c>
      <c r="E71" s="20"/>
      <c r="J71" s="37"/>
    </row>
    <row r="72" spans="1:10">
      <c r="B72" s="8"/>
      <c r="C72" t="s">
        <v>234</v>
      </c>
      <c r="D72" s="22">
        <f>Enrollment!J18</f>
        <v>2494.75</v>
      </c>
      <c r="E72" s="20">
        <f>D72*'Fee Breakdown'!E15</f>
        <v>9979</v>
      </c>
      <c r="J72" s="37"/>
    </row>
    <row r="73" spans="1:10">
      <c r="B73" s="8"/>
      <c r="C73" t="s">
        <v>241</v>
      </c>
      <c r="D73" s="22">
        <f>Enrollment!J19</f>
        <v>1099.05</v>
      </c>
      <c r="E73" s="21">
        <f>D73*'Fee Breakdown'!G15</f>
        <v>4396.2</v>
      </c>
      <c r="J73" s="37"/>
    </row>
    <row r="74" spans="1:10">
      <c r="E74" s="21">
        <f>SUM(E72:E73)</f>
        <v>14375.2</v>
      </c>
      <c r="J74" s="37"/>
    </row>
    <row r="75" spans="1:10" ht="21" customHeight="1">
      <c r="B75" s="9" t="s">
        <v>242</v>
      </c>
      <c r="C75" s="6"/>
      <c r="D75" s="25"/>
      <c r="E75" s="74">
        <f>E70+E74</f>
        <v>30647.599999999999</v>
      </c>
      <c r="G75" s="10">
        <f>E75*30%</f>
        <v>9194.2799999999988</v>
      </c>
      <c r="I75">
        <v>55999</v>
      </c>
      <c r="J75" s="37">
        <f>I75-E75</f>
        <v>25351.4</v>
      </c>
    </row>
    <row r="76" spans="1:10">
      <c r="A76" s="9"/>
      <c r="B76" s="9"/>
      <c r="C76" s="9"/>
      <c r="D76" s="14"/>
      <c r="E76" s="19"/>
      <c r="J76" s="37"/>
    </row>
    <row r="77" spans="1:10">
      <c r="A77" s="9" t="s">
        <v>243</v>
      </c>
      <c r="B77" s="9"/>
      <c r="C77" s="9"/>
      <c r="D77" s="14"/>
      <c r="E77" s="19"/>
      <c r="J77" s="37"/>
    </row>
    <row r="78" spans="1:10">
      <c r="B78" t="s">
        <v>219</v>
      </c>
      <c r="E78" s="20"/>
      <c r="J78" s="37"/>
    </row>
    <row r="79" spans="1:10">
      <c r="C79" t="s">
        <v>244</v>
      </c>
      <c r="D79" s="22">
        <f>Enrollment!J13</f>
        <v>2521.9499999999998</v>
      </c>
      <c r="E79" s="20">
        <f>D79*'Fee Breakdown'!E16</f>
        <v>5043.8999999999996</v>
      </c>
      <c r="J79" s="37"/>
    </row>
    <row r="80" spans="1:10">
      <c r="C80" t="s">
        <v>245</v>
      </c>
      <c r="D80" s="22">
        <f>Enrollment!J14</f>
        <v>1546.1499999999999</v>
      </c>
      <c r="E80" s="21">
        <f>D80*'Fee Breakdown'!G16</f>
        <v>3092.2999999999997</v>
      </c>
      <c r="J80" s="37"/>
    </row>
    <row r="81" spans="1:10">
      <c r="E81" s="23">
        <f>SUM(E79:E80)</f>
        <v>8136.1999999999989</v>
      </c>
      <c r="J81" s="37"/>
    </row>
    <row r="82" spans="1:10">
      <c r="B82" t="s">
        <v>223</v>
      </c>
      <c r="E82" s="20"/>
      <c r="J82" s="37"/>
    </row>
    <row r="83" spans="1:10">
      <c r="B83" s="8"/>
      <c r="C83" t="s">
        <v>244</v>
      </c>
      <c r="D83" s="22">
        <f>Enrollment!J18</f>
        <v>2494.75</v>
      </c>
      <c r="E83" s="20">
        <f>D83*'Fee Breakdown'!E16</f>
        <v>4989.5</v>
      </c>
      <c r="J83" s="37"/>
    </row>
    <row r="84" spans="1:10">
      <c r="B84" s="8"/>
      <c r="C84" t="s">
        <v>245</v>
      </c>
      <c r="D84" s="22">
        <f>Enrollment!J19</f>
        <v>1099.05</v>
      </c>
      <c r="E84" s="21">
        <f>D84*'Fee Breakdown'!G16</f>
        <v>2198.1</v>
      </c>
      <c r="J84" s="37"/>
    </row>
    <row r="85" spans="1:10">
      <c r="E85" s="20">
        <f>SUM(E83:E84)</f>
        <v>7187.6</v>
      </c>
      <c r="J85" s="37"/>
    </row>
    <row r="86" spans="1:10">
      <c r="A86" s="9"/>
      <c r="B86" s="9" t="s">
        <v>246</v>
      </c>
      <c r="C86" s="9"/>
      <c r="D86" s="14"/>
      <c r="E86" s="74">
        <f>E81+E85</f>
        <v>15323.8</v>
      </c>
      <c r="G86" s="4">
        <f>E86*30%</f>
        <v>4597.1399999999994</v>
      </c>
      <c r="J86" s="37"/>
    </row>
    <row r="87" spans="1:10">
      <c r="E87" s="20"/>
      <c r="J87" s="37"/>
    </row>
    <row r="88" spans="1:10">
      <c r="A88" s="9" t="s">
        <v>247</v>
      </c>
      <c r="B88" s="9"/>
      <c r="C88" s="9"/>
      <c r="D88" s="14"/>
      <c r="E88" s="19"/>
      <c r="J88" s="37"/>
    </row>
    <row r="89" spans="1:10">
      <c r="B89" t="s">
        <v>219</v>
      </c>
      <c r="E89" s="20"/>
      <c r="J89" s="37"/>
    </row>
    <row r="90" spans="1:10">
      <c r="C90" t="s">
        <v>248</v>
      </c>
      <c r="D90" s="22">
        <f>Enrollment!J13</f>
        <v>2521.9499999999998</v>
      </c>
      <c r="E90" s="20">
        <f>D90*'Fee Breakdown'!E17</f>
        <v>15131.699999999999</v>
      </c>
      <c r="J90" s="37"/>
    </row>
    <row r="91" spans="1:10">
      <c r="C91" t="s">
        <v>249</v>
      </c>
      <c r="D91" s="22">
        <f>Enrollment!J14</f>
        <v>1546.1499999999999</v>
      </c>
      <c r="E91" s="21">
        <f>D91*'Fee Breakdown'!G17</f>
        <v>9276.9</v>
      </c>
      <c r="J91" s="37"/>
    </row>
    <row r="92" spans="1:10">
      <c r="E92" s="23">
        <f>SUM(E90:E91)</f>
        <v>24408.6</v>
      </c>
      <c r="J92" s="37"/>
    </row>
    <row r="93" spans="1:10">
      <c r="B93" t="s">
        <v>223</v>
      </c>
      <c r="E93" s="20"/>
      <c r="J93" s="37"/>
    </row>
    <row r="94" spans="1:10">
      <c r="B94" s="8"/>
      <c r="C94" t="s">
        <v>248</v>
      </c>
      <c r="D94" s="22">
        <f>Enrollment!J18</f>
        <v>2494.75</v>
      </c>
      <c r="E94" s="20">
        <f>D94*'Fee Breakdown'!E17</f>
        <v>14968.5</v>
      </c>
      <c r="J94" s="37"/>
    </row>
    <row r="95" spans="1:10">
      <c r="B95" s="8"/>
      <c r="C95" t="s">
        <v>249</v>
      </c>
      <c r="D95" s="22">
        <f>Enrollment!J19</f>
        <v>1099.05</v>
      </c>
      <c r="E95" s="21">
        <f>D95*'Fee Breakdown'!G17</f>
        <v>6594.2999999999993</v>
      </c>
      <c r="J95" s="37"/>
    </row>
    <row r="96" spans="1:10">
      <c r="E96" s="20">
        <f>SUM(E94:E95)</f>
        <v>21562.799999999999</v>
      </c>
      <c r="J96" s="37"/>
    </row>
    <row r="97" spans="1:10">
      <c r="A97" s="9"/>
      <c r="B97" s="9" t="s">
        <v>250</v>
      </c>
      <c r="C97" s="9"/>
      <c r="D97" s="14"/>
      <c r="E97" s="24">
        <f>E92+E96</f>
        <v>45971.399999999994</v>
      </c>
      <c r="G97" s="4">
        <f>E97*30%</f>
        <v>13791.419999999998</v>
      </c>
      <c r="J97" s="37"/>
    </row>
    <row r="98" spans="1:10">
      <c r="E98" s="20"/>
      <c r="J98" s="37"/>
    </row>
    <row r="99" spans="1:10">
      <c r="E99" s="20"/>
      <c r="J99" s="37"/>
    </row>
    <row r="100" spans="1:10">
      <c r="A100" s="9" t="s">
        <v>251</v>
      </c>
      <c r="B100" s="9"/>
      <c r="C100" s="9"/>
      <c r="D100" s="14"/>
      <c r="E100" s="19"/>
      <c r="J100" s="37"/>
    </row>
    <row r="101" spans="1:10">
      <c r="B101" t="s">
        <v>219</v>
      </c>
      <c r="E101" s="20"/>
      <c r="J101" s="37"/>
    </row>
    <row r="102" spans="1:10">
      <c r="C102" t="s">
        <v>234</v>
      </c>
      <c r="D102" s="22">
        <f>Enrollment!J13</f>
        <v>2521.9499999999998</v>
      </c>
      <c r="E102" s="20">
        <f>D102*'Fee Breakdown'!E18</f>
        <v>10087.799999999999</v>
      </c>
      <c r="J102" s="37"/>
    </row>
    <row r="103" spans="1:10">
      <c r="C103" t="s">
        <v>245</v>
      </c>
      <c r="D103" s="22">
        <f>Enrollment!J14</f>
        <v>1546.1499999999999</v>
      </c>
      <c r="E103" s="21">
        <f>D103*'Fee Breakdown'!G18</f>
        <v>3092.2999999999997</v>
      </c>
      <c r="J103" s="37"/>
    </row>
    <row r="104" spans="1:10">
      <c r="E104" s="23">
        <f>SUM(E102:E103)</f>
        <v>13180.099999999999</v>
      </c>
      <c r="J104" s="37"/>
    </row>
    <row r="105" spans="1:10">
      <c r="B105" t="s">
        <v>223</v>
      </c>
      <c r="E105" s="20"/>
      <c r="J105" s="37"/>
    </row>
    <row r="106" spans="1:10">
      <c r="B106" s="8"/>
      <c r="C106" t="s">
        <v>234</v>
      </c>
      <c r="D106" s="22">
        <f>Enrollment!J18</f>
        <v>2494.75</v>
      </c>
      <c r="E106" s="20">
        <f>D106*'Fee Breakdown'!E18</f>
        <v>9979</v>
      </c>
      <c r="J106" s="37"/>
    </row>
    <row r="107" spans="1:10">
      <c r="B107" s="8"/>
      <c r="C107" t="s">
        <v>245</v>
      </c>
      <c r="D107" s="22">
        <f>Enrollment!J19</f>
        <v>1099.05</v>
      </c>
      <c r="E107" s="21">
        <f>D107*'Fee Breakdown'!G18</f>
        <v>2198.1</v>
      </c>
      <c r="J107" s="37"/>
    </row>
    <row r="108" spans="1:10">
      <c r="E108" s="23">
        <f>SUM(E106:E107)</f>
        <v>12177.1</v>
      </c>
      <c r="J108" s="37"/>
    </row>
    <row r="109" spans="1:10">
      <c r="B109" s="9" t="s">
        <v>252</v>
      </c>
      <c r="E109" s="24">
        <f>E104+E108</f>
        <v>25357.199999999997</v>
      </c>
      <c r="G109" s="4">
        <f>E109*30%</f>
        <v>7607.1599999999989</v>
      </c>
      <c r="J109" s="37"/>
    </row>
    <row r="110" spans="1:10" ht="24.75" customHeight="1">
      <c r="B110" s="39" t="s">
        <v>253</v>
      </c>
      <c r="E110" s="38">
        <f>+E109+E97+E86+E75+E64+E52+E40+E29+E18</f>
        <v>520047.08500000002</v>
      </c>
      <c r="G110" s="4">
        <f>E110*30%</f>
        <v>156014.12549999999</v>
      </c>
      <c r="J110" s="37"/>
    </row>
  </sheetData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9"/>
  <sheetViews>
    <sheetView zoomScale="110" zoomScaleNormal="110" workbookViewId="0">
      <selection activeCell="I13" sqref="I13"/>
    </sheetView>
  </sheetViews>
  <sheetFormatPr defaultRowHeight="15"/>
  <cols>
    <col min="1" max="1" width="25.85546875" style="76" customWidth="1"/>
    <col min="2" max="2" width="2.7109375" style="76" customWidth="1"/>
    <col min="3" max="3" width="13.28515625" style="76" hidden="1" customWidth="1"/>
    <col min="4" max="4" width="2.7109375" style="76" hidden="1" customWidth="1"/>
    <col min="5" max="5" width="0" style="76" hidden="1" customWidth="1"/>
    <col min="6" max="6" width="2.7109375" style="76" hidden="1" customWidth="1"/>
    <col min="7" max="7" width="16.5703125" style="76" hidden="1" customWidth="1"/>
    <col min="8" max="8" width="0" style="207" hidden="1" customWidth="1"/>
    <col min="9" max="11" width="16.5703125" style="76" bestFit="1" customWidth="1"/>
    <col min="12" max="16384" width="9.140625" style="76"/>
  </cols>
  <sheetData>
    <row r="1" spans="1:11" s="108" customFormat="1">
      <c r="A1" s="280" t="s">
        <v>193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s="108" customFormat="1">
      <c r="A2" s="280" t="s">
        <v>254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 s="108" customFormat="1" ht="14.45" customHeight="1">
      <c r="A3" s="281" t="s">
        <v>255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6" spans="1:11">
      <c r="C6" s="277" t="s">
        <v>256</v>
      </c>
      <c r="D6" s="277"/>
      <c r="E6" s="277"/>
      <c r="F6" s="277"/>
      <c r="G6" s="277"/>
      <c r="H6" s="277"/>
      <c r="I6" s="277"/>
      <c r="J6" s="277"/>
      <c r="K6" s="277"/>
    </row>
    <row r="7" spans="1:11">
      <c r="C7" s="205" t="s">
        <v>257</v>
      </c>
      <c r="D7" s="205"/>
      <c r="E7" s="206"/>
      <c r="F7" s="205"/>
      <c r="G7" s="205" t="s">
        <v>258</v>
      </c>
      <c r="I7" s="205" t="s">
        <v>259</v>
      </c>
      <c r="J7" s="205" t="s">
        <v>260</v>
      </c>
      <c r="K7" s="205" t="s">
        <v>261</v>
      </c>
    </row>
    <row r="8" spans="1:11">
      <c r="C8" s="80"/>
      <c r="D8" s="80"/>
      <c r="E8" s="80"/>
      <c r="F8" s="80"/>
      <c r="G8" s="80"/>
      <c r="I8" s="80"/>
      <c r="J8" s="80"/>
      <c r="K8" s="80"/>
    </row>
    <row r="9" spans="1:11" ht="18" customHeight="1">
      <c r="A9" s="100" t="s">
        <v>262</v>
      </c>
      <c r="B9" s="78"/>
      <c r="C9" s="208">
        <v>2260</v>
      </c>
      <c r="D9" s="209"/>
      <c r="E9" s="208"/>
      <c r="F9" s="209"/>
      <c r="G9" s="208">
        <f>+C9*75%</f>
        <v>1695</v>
      </c>
      <c r="H9" s="207" t="e">
        <f>E9/#REF!</f>
        <v>#REF!</v>
      </c>
      <c r="I9" s="208">
        <v>1580</v>
      </c>
      <c r="J9" s="208">
        <f>I9*85%</f>
        <v>1343</v>
      </c>
      <c r="K9" s="208">
        <v>0</v>
      </c>
    </row>
    <row r="10" spans="1:11" ht="18" customHeight="1">
      <c r="A10" s="210" t="s">
        <v>263</v>
      </c>
      <c r="B10" s="78"/>
      <c r="C10" s="211">
        <f>+C9</f>
        <v>2260</v>
      </c>
      <c r="D10" s="211"/>
      <c r="E10" s="211"/>
      <c r="F10" s="211"/>
      <c r="G10" s="211">
        <f>+G9</f>
        <v>1695</v>
      </c>
      <c r="I10" s="211">
        <f>+I9</f>
        <v>1580</v>
      </c>
      <c r="J10" s="211">
        <f>+J9</f>
        <v>1343</v>
      </c>
      <c r="K10" s="211">
        <f>+K9</f>
        <v>0</v>
      </c>
    </row>
    <row r="11" spans="1:11" ht="18" customHeight="1">
      <c r="A11" s="78"/>
      <c r="B11" s="78"/>
      <c r="C11" s="208"/>
      <c r="D11" s="209"/>
      <c r="E11" s="208"/>
      <c r="F11" s="209"/>
      <c r="G11" s="208"/>
      <c r="I11" s="208"/>
      <c r="J11" s="208"/>
      <c r="K11" s="208"/>
    </row>
    <row r="12" spans="1:11" ht="18" customHeight="1">
      <c r="A12" s="212" t="s">
        <v>264</v>
      </c>
      <c r="B12" s="213"/>
      <c r="C12" s="208"/>
      <c r="D12" s="209"/>
      <c r="E12" s="208"/>
      <c r="F12" s="209"/>
      <c r="G12" s="208"/>
      <c r="H12" s="207" t="e">
        <f>E12/#REF!</f>
        <v>#REF!</v>
      </c>
      <c r="I12" s="208"/>
      <c r="J12" s="208"/>
      <c r="K12" s="208"/>
    </row>
    <row r="13" spans="1:11" ht="18" customHeight="1">
      <c r="A13" s="169" t="s">
        <v>265</v>
      </c>
      <c r="B13" s="78"/>
      <c r="C13" s="208">
        <v>5081</v>
      </c>
      <c r="D13" s="209"/>
      <c r="E13" s="208"/>
      <c r="F13" s="209"/>
      <c r="G13" s="208">
        <f t="shared" ref="G13:G14" si="0">+C13*75%</f>
        <v>3810.75</v>
      </c>
      <c r="I13" s="208">
        <v>2967</v>
      </c>
      <c r="J13" s="208">
        <f t="shared" ref="J13:J14" si="1">I13*85%</f>
        <v>2521.9499999999998</v>
      </c>
      <c r="K13" s="208">
        <v>0</v>
      </c>
    </row>
    <row r="14" spans="1:11" ht="18" customHeight="1">
      <c r="A14" s="169" t="s">
        <v>266</v>
      </c>
      <c r="B14" s="78"/>
      <c r="C14" s="208">
        <v>1510</v>
      </c>
      <c r="D14" s="209"/>
      <c r="E14" s="208"/>
      <c r="F14" s="209"/>
      <c r="G14" s="208">
        <f t="shared" si="0"/>
        <v>1132.5</v>
      </c>
      <c r="I14" s="208">
        <v>1819</v>
      </c>
      <c r="J14" s="208">
        <f t="shared" si="1"/>
        <v>1546.1499999999999</v>
      </c>
      <c r="K14" s="208">
        <v>0</v>
      </c>
    </row>
    <row r="15" spans="1:11" ht="18" customHeight="1">
      <c r="A15" s="210" t="s">
        <v>179</v>
      </c>
      <c r="B15" s="78"/>
      <c r="C15" s="211">
        <f>SUM(C13:C14)</f>
        <v>6591</v>
      </c>
      <c r="D15" s="211"/>
      <c r="E15" s="211"/>
      <c r="F15" s="211"/>
      <c r="G15" s="211">
        <f>SUM(G13:G14)</f>
        <v>4943.25</v>
      </c>
      <c r="I15" s="211">
        <f>SUM(I13:I14)</f>
        <v>4786</v>
      </c>
      <c r="J15" s="211">
        <f>SUM(J13:J14)</f>
        <v>4068.0999999999995</v>
      </c>
      <c r="K15" s="211">
        <f>SUM(K13:K14)</f>
        <v>0</v>
      </c>
    </row>
    <row r="16" spans="1:11" ht="18" customHeight="1">
      <c r="A16" s="169"/>
      <c r="B16" s="78"/>
      <c r="C16" s="208"/>
      <c r="D16" s="209"/>
      <c r="E16" s="208"/>
      <c r="F16" s="209"/>
      <c r="G16" s="208"/>
      <c r="I16" s="208"/>
      <c r="J16" s="208"/>
      <c r="K16" s="208"/>
    </row>
    <row r="17" spans="1:11" ht="18" customHeight="1">
      <c r="A17" s="100" t="s">
        <v>267</v>
      </c>
      <c r="B17" s="78"/>
      <c r="C17" s="208"/>
      <c r="D17" s="209"/>
      <c r="E17" s="208"/>
      <c r="F17" s="209"/>
      <c r="G17" s="208"/>
      <c r="H17" s="207" t="e">
        <f>E17/#REF!</f>
        <v>#REF!</v>
      </c>
      <c r="I17" s="208"/>
      <c r="J17" s="208"/>
      <c r="K17" s="208"/>
    </row>
    <row r="18" spans="1:11" ht="18" customHeight="1">
      <c r="A18" s="169" t="s">
        <v>265</v>
      </c>
      <c r="B18" s="78"/>
      <c r="C18" s="208">
        <v>3579</v>
      </c>
      <c r="D18" s="209"/>
      <c r="E18" s="208"/>
      <c r="F18" s="209"/>
      <c r="G18" s="208">
        <f t="shared" ref="G18:G19" si="2">+C18*75%</f>
        <v>2684.25</v>
      </c>
      <c r="I18" s="208">
        <v>2935</v>
      </c>
      <c r="J18" s="208">
        <f t="shared" ref="J18:J19" si="3">I18*85%</f>
        <v>2494.75</v>
      </c>
      <c r="K18" s="208">
        <v>0</v>
      </c>
    </row>
    <row r="19" spans="1:11" ht="18" customHeight="1">
      <c r="A19" s="169" t="s">
        <v>266</v>
      </c>
      <c r="B19" s="78"/>
      <c r="C19" s="208">
        <v>2102</v>
      </c>
      <c r="D19" s="209"/>
      <c r="E19" s="208"/>
      <c r="F19" s="209"/>
      <c r="G19" s="208">
        <f t="shared" si="2"/>
        <v>1576.5</v>
      </c>
      <c r="I19" s="208">
        <v>1293</v>
      </c>
      <c r="J19" s="208">
        <f t="shared" si="3"/>
        <v>1099.05</v>
      </c>
      <c r="K19" s="208">
        <v>0</v>
      </c>
    </row>
    <row r="20" spans="1:11" ht="18" customHeight="1">
      <c r="A20" s="163" t="s">
        <v>180</v>
      </c>
      <c r="B20" s="163"/>
      <c r="C20" s="214">
        <f>SUM(C18:C19)</f>
        <v>5681</v>
      </c>
      <c r="D20" s="215"/>
      <c r="E20" s="215"/>
      <c r="F20" s="215"/>
      <c r="G20" s="211">
        <f>SUM(G18:G19)</f>
        <v>4260.75</v>
      </c>
      <c r="I20" s="211">
        <f>SUM(I18:I19)</f>
        <v>4228</v>
      </c>
      <c r="J20" s="211">
        <f>SUM(J18:J19)</f>
        <v>3593.8</v>
      </c>
      <c r="K20" s="211">
        <f>SUM(K18:K19)</f>
        <v>0</v>
      </c>
    </row>
    <row r="21" spans="1:11">
      <c r="C21" s="128"/>
      <c r="D21" s="216"/>
      <c r="E21" s="128"/>
      <c r="F21" s="216"/>
      <c r="G21" s="128"/>
      <c r="I21" s="128"/>
      <c r="J21" s="128"/>
      <c r="K21" s="128"/>
    </row>
    <row r="22" spans="1:11">
      <c r="C22" s="128"/>
      <c r="D22" s="216"/>
      <c r="E22" s="128"/>
      <c r="F22" s="216"/>
      <c r="G22" s="128"/>
      <c r="I22" s="128"/>
      <c r="J22" s="128"/>
      <c r="K22" s="128"/>
    </row>
    <row r="23" spans="1:11">
      <c r="C23" s="128"/>
      <c r="D23" s="216"/>
      <c r="E23" s="128"/>
      <c r="F23" s="216"/>
      <c r="G23" s="128"/>
      <c r="I23" s="128"/>
      <c r="J23" s="128"/>
      <c r="K23" s="128"/>
    </row>
    <row r="24" spans="1:11">
      <c r="C24" s="128"/>
      <c r="D24" s="216"/>
      <c r="E24" s="128"/>
      <c r="F24" s="216"/>
      <c r="G24" s="128"/>
      <c r="I24" s="128"/>
      <c r="J24" s="128"/>
      <c r="K24" s="128"/>
    </row>
    <row r="25" spans="1:11">
      <c r="C25" s="128"/>
      <c r="D25" s="216"/>
      <c r="E25" s="128"/>
      <c r="F25" s="216"/>
      <c r="G25" s="128"/>
      <c r="I25" s="128"/>
      <c r="J25" s="128"/>
      <c r="K25" s="128"/>
    </row>
    <row r="26" spans="1:11">
      <c r="C26" s="128"/>
      <c r="D26" s="216"/>
      <c r="E26" s="128"/>
      <c r="F26" s="216"/>
      <c r="G26" s="128"/>
      <c r="I26" s="128"/>
      <c r="J26" s="128"/>
      <c r="K26" s="128"/>
    </row>
    <row r="27" spans="1:11">
      <c r="C27" s="128"/>
      <c r="D27" s="216"/>
      <c r="E27" s="128"/>
      <c r="F27" s="216"/>
      <c r="G27" s="128"/>
      <c r="I27" s="128"/>
      <c r="J27" s="128"/>
      <c r="K27" s="128"/>
    </row>
    <row r="28" spans="1:11">
      <c r="C28" s="128"/>
      <c r="D28" s="216"/>
      <c r="E28" s="128"/>
      <c r="F28" s="216"/>
      <c r="G28" s="128"/>
      <c r="I28" s="128"/>
      <c r="J28" s="128"/>
      <c r="K28" s="128"/>
    </row>
    <row r="29" spans="1:11">
      <c r="C29" s="128"/>
      <c r="D29" s="216"/>
      <c r="E29" s="128"/>
      <c r="F29" s="216"/>
      <c r="G29" s="128"/>
      <c r="I29" s="128"/>
      <c r="J29" s="128"/>
      <c r="K29" s="128"/>
    </row>
  </sheetData>
  <mergeCells count="4">
    <mergeCell ref="A1:K1"/>
    <mergeCell ref="A2:K2"/>
    <mergeCell ref="A3:K3"/>
    <mergeCell ref="C6:K6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31"/>
  <sheetViews>
    <sheetView zoomScaleNormal="100" workbookViewId="0">
      <selection activeCell="G16" sqref="G16"/>
    </sheetView>
  </sheetViews>
  <sheetFormatPr defaultRowHeight="15"/>
  <cols>
    <col min="1" max="1" width="30.140625" bestFit="1" customWidth="1"/>
    <col min="2" max="2" width="2.7109375" customWidth="1"/>
    <col min="3" max="3" width="8.42578125" bestFit="1" customWidth="1"/>
    <col min="4" max="4" width="2.7109375" customWidth="1"/>
    <col min="6" max="6" width="2.7109375" customWidth="1"/>
    <col min="8" max="8" width="0" style="27" hidden="1" customWidth="1"/>
  </cols>
  <sheetData>
    <row r="1" spans="1:8">
      <c r="A1" s="282" t="s">
        <v>193</v>
      </c>
      <c r="B1" s="282"/>
      <c r="C1" s="282"/>
      <c r="D1" s="282"/>
      <c r="E1" s="282"/>
      <c r="F1" s="282"/>
      <c r="G1" s="282"/>
    </row>
    <row r="2" spans="1:8">
      <c r="A2" s="282" t="s">
        <v>268</v>
      </c>
      <c r="B2" s="282"/>
      <c r="C2" s="282"/>
      <c r="D2" s="282"/>
      <c r="E2" s="282"/>
      <c r="F2" s="282"/>
      <c r="G2" s="282"/>
    </row>
    <row r="3" spans="1:8">
      <c r="A3" s="282" t="s">
        <v>269</v>
      </c>
      <c r="B3" s="282"/>
      <c r="C3" s="282"/>
      <c r="D3" s="282"/>
      <c r="E3" s="282"/>
      <c r="F3" s="282"/>
      <c r="G3" s="282"/>
    </row>
    <row r="7" spans="1:8">
      <c r="C7" s="283" t="s">
        <v>256</v>
      </c>
      <c r="D7" s="283"/>
      <c r="E7" s="283"/>
      <c r="F7" s="283"/>
      <c r="G7" s="283"/>
    </row>
    <row r="8" spans="1:8">
      <c r="C8" s="28" t="s">
        <v>81</v>
      </c>
      <c r="D8" s="28"/>
      <c r="E8" s="28" t="s">
        <v>265</v>
      </c>
      <c r="F8" s="28"/>
      <c r="G8" s="28" t="s">
        <v>266</v>
      </c>
    </row>
    <row r="9" spans="1:8">
      <c r="A9" s="6" t="s">
        <v>196</v>
      </c>
      <c r="B9" s="6"/>
      <c r="C9" s="30"/>
      <c r="D9" s="31"/>
      <c r="E9" s="30"/>
      <c r="F9" s="31"/>
      <c r="G9" s="30"/>
    </row>
    <row r="10" spans="1:8" ht="18" customHeight="1">
      <c r="A10" s="3" t="s">
        <v>201</v>
      </c>
      <c r="B10" s="3"/>
      <c r="C10" s="32">
        <v>15</v>
      </c>
      <c r="D10" s="31"/>
      <c r="E10" s="32">
        <v>21.15</v>
      </c>
      <c r="F10" s="31"/>
      <c r="G10" s="32">
        <v>11.15</v>
      </c>
      <c r="H10" s="27">
        <f>E10/E19</f>
        <v>0.2931392931392931</v>
      </c>
    </row>
    <row r="11" spans="1:8" ht="18" customHeight="1">
      <c r="A11" s="3" t="s">
        <v>202</v>
      </c>
      <c r="B11" s="3"/>
      <c r="C11" s="30"/>
      <c r="D11" s="31"/>
      <c r="E11" s="30">
        <v>23</v>
      </c>
      <c r="F11" s="31"/>
      <c r="G11" s="30">
        <v>16</v>
      </c>
      <c r="H11" s="27">
        <f>E11/E19</f>
        <v>0.31878031878031876</v>
      </c>
    </row>
    <row r="12" spans="1:8" ht="18" customHeight="1">
      <c r="A12" s="29" t="s">
        <v>203</v>
      </c>
      <c r="B12" s="29"/>
      <c r="C12" s="30"/>
      <c r="D12" s="31"/>
      <c r="E12" s="30">
        <v>5</v>
      </c>
      <c r="F12" s="31"/>
      <c r="G12" s="30">
        <v>5</v>
      </c>
      <c r="H12" s="27">
        <f>E12/E19</f>
        <v>6.9300069300069295E-2</v>
      </c>
    </row>
    <row r="13" spans="1:8" ht="18" customHeight="1">
      <c r="A13" s="3" t="s">
        <v>204</v>
      </c>
      <c r="B13" s="3"/>
      <c r="C13" s="33"/>
      <c r="D13" s="34"/>
      <c r="E13" s="33">
        <v>4</v>
      </c>
      <c r="F13" s="34"/>
      <c r="G13" s="33">
        <v>3</v>
      </c>
      <c r="H13" s="27">
        <f>E13/E19</f>
        <v>5.5440055440055439E-2</v>
      </c>
    </row>
    <row r="14" spans="1:8" ht="18" customHeight="1">
      <c r="A14" s="29" t="s">
        <v>205</v>
      </c>
      <c r="B14" s="29"/>
      <c r="C14" s="30"/>
      <c r="D14" s="31"/>
      <c r="E14" s="30">
        <v>3</v>
      </c>
      <c r="F14" s="31"/>
      <c r="G14" s="30">
        <v>3</v>
      </c>
      <c r="H14" s="27">
        <f>E14/E19</f>
        <v>4.1580041580041575E-2</v>
      </c>
    </row>
    <row r="15" spans="1:8" ht="18" customHeight="1">
      <c r="A15" s="29" t="s">
        <v>206</v>
      </c>
      <c r="B15" s="29"/>
      <c r="C15" s="30"/>
      <c r="D15" s="31"/>
      <c r="E15" s="30">
        <v>4</v>
      </c>
      <c r="F15" s="31"/>
      <c r="G15" s="30">
        <v>4</v>
      </c>
      <c r="H15" s="27">
        <f>E15/E19</f>
        <v>5.5440055440055439E-2</v>
      </c>
    </row>
    <row r="16" spans="1:8" ht="18" customHeight="1">
      <c r="A16" s="29" t="s">
        <v>207</v>
      </c>
      <c r="B16" s="29"/>
      <c r="C16" s="30"/>
      <c r="D16" s="31"/>
      <c r="E16" s="30">
        <v>2</v>
      </c>
      <c r="F16" s="31"/>
      <c r="G16" s="30">
        <v>2</v>
      </c>
      <c r="H16" s="27">
        <f>E16/E19</f>
        <v>2.7720027720027719E-2</v>
      </c>
    </row>
    <row r="17" spans="1:8" ht="18" customHeight="1">
      <c r="A17" s="3" t="s">
        <v>208</v>
      </c>
      <c r="B17" s="3"/>
      <c r="C17" s="30"/>
      <c r="D17" s="31"/>
      <c r="E17" s="30">
        <v>6</v>
      </c>
      <c r="F17" s="31"/>
      <c r="G17" s="30">
        <v>6</v>
      </c>
      <c r="H17" s="27">
        <f>E17/E19</f>
        <v>8.3160083160083151E-2</v>
      </c>
    </row>
    <row r="18" spans="1:8" ht="18" customHeight="1">
      <c r="A18" s="29" t="s">
        <v>209</v>
      </c>
      <c r="B18" s="29"/>
      <c r="C18" s="30"/>
      <c r="D18" s="31"/>
      <c r="E18" s="30">
        <v>4</v>
      </c>
      <c r="F18" s="31"/>
      <c r="G18" s="30">
        <v>2</v>
      </c>
      <c r="H18" s="27">
        <f>E18/E19</f>
        <v>5.5440055440055439E-2</v>
      </c>
    </row>
    <row r="19" spans="1:8" ht="18" customHeight="1">
      <c r="A19" s="25" t="s">
        <v>210</v>
      </c>
      <c r="B19" s="25"/>
      <c r="C19" s="35">
        <f>SUM(C10:C18)</f>
        <v>15</v>
      </c>
      <c r="D19" s="31"/>
      <c r="E19" s="35">
        <f>SUM(E10:E18)</f>
        <v>72.150000000000006</v>
      </c>
      <c r="F19" s="31"/>
      <c r="G19" s="35">
        <f>SUM(G10:G18)</f>
        <v>52.15</v>
      </c>
      <c r="H19" s="27">
        <f>SUM(H10:H18)</f>
        <v>1</v>
      </c>
    </row>
    <row r="20" spans="1:8" ht="18" customHeight="1">
      <c r="A20" s="25" t="s">
        <v>270</v>
      </c>
      <c r="B20" s="25"/>
      <c r="C20" s="30">
        <v>1.45</v>
      </c>
      <c r="D20" s="31"/>
      <c r="E20" s="30">
        <v>1.45</v>
      </c>
      <c r="F20" s="31"/>
      <c r="G20" s="30">
        <v>1.45</v>
      </c>
    </row>
    <row r="21" spans="1:8" ht="18" customHeight="1">
      <c r="A21" s="25" t="s">
        <v>271</v>
      </c>
      <c r="B21" s="2"/>
      <c r="C21" s="36">
        <f>SUM(C19:C20)</f>
        <v>16.45</v>
      </c>
      <c r="D21" s="31"/>
      <c r="E21" s="36">
        <f>SUM(E19:E20)</f>
        <v>73.600000000000009</v>
      </c>
      <c r="F21" s="31"/>
      <c r="G21" s="36">
        <f>SUM(G19:G20)</f>
        <v>53.6</v>
      </c>
    </row>
    <row r="22" spans="1:8">
      <c r="A22" s="2"/>
      <c r="B22" s="2"/>
      <c r="C22" s="30"/>
      <c r="D22" s="31"/>
      <c r="E22" s="30"/>
      <c r="F22" s="31"/>
      <c r="G22" s="30"/>
    </row>
    <row r="23" spans="1:8">
      <c r="C23" s="30"/>
      <c r="D23" s="31"/>
      <c r="E23" s="30"/>
      <c r="F23" s="31"/>
      <c r="G23" s="30"/>
    </row>
    <row r="24" spans="1:8">
      <c r="C24" s="30"/>
      <c r="D24" s="31"/>
      <c r="E24" s="30"/>
      <c r="F24" s="31"/>
      <c r="G24" s="30"/>
    </row>
    <row r="25" spans="1:8">
      <c r="C25" s="30"/>
      <c r="D25" s="31"/>
      <c r="E25" s="30"/>
      <c r="F25" s="31"/>
      <c r="G25" s="30"/>
    </row>
    <row r="26" spans="1:8">
      <c r="C26" s="30"/>
      <c r="D26" s="31"/>
      <c r="E26" s="30"/>
      <c r="F26" s="31"/>
      <c r="G26" s="30"/>
    </row>
    <row r="27" spans="1:8">
      <c r="C27" s="30"/>
      <c r="D27" s="31"/>
      <c r="E27" s="30"/>
      <c r="F27" s="31"/>
      <c r="G27" s="30"/>
    </row>
    <row r="28" spans="1:8">
      <c r="C28" s="30"/>
      <c r="D28" s="31"/>
      <c r="E28" s="30"/>
      <c r="F28" s="31"/>
      <c r="G28" s="30"/>
    </row>
    <row r="29" spans="1:8">
      <c r="C29" s="30"/>
      <c r="D29" s="31"/>
      <c r="E29" s="30"/>
      <c r="F29" s="31"/>
      <c r="G29" s="30"/>
    </row>
    <row r="30" spans="1:8">
      <c r="C30" s="30"/>
      <c r="D30" s="31"/>
      <c r="E30" s="30"/>
      <c r="F30" s="31"/>
      <c r="G30" s="30"/>
    </row>
    <row r="31" spans="1:8">
      <c r="C31" s="30"/>
      <c r="D31" s="31"/>
      <c r="E31" s="30"/>
      <c r="F31" s="31"/>
      <c r="G31" s="30"/>
    </row>
  </sheetData>
  <mergeCells count="4">
    <mergeCell ref="A1:G1"/>
    <mergeCell ref="A2:G2"/>
    <mergeCell ref="A3:G3"/>
    <mergeCell ref="C7:G7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9975-4BBB-40ED-A8DF-5837C46D2835}">
  <sheetPr>
    <tabColor theme="6" tint="-0.249977111117893"/>
  </sheetPr>
  <dimension ref="A1:P72"/>
  <sheetViews>
    <sheetView zoomScaleNormal="100" zoomScaleSheetLayoutView="100" workbookViewId="0">
      <selection sqref="A1:XFD1048576"/>
    </sheetView>
  </sheetViews>
  <sheetFormatPr defaultColWidth="9.140625" defaultRowHeight="15"/>
  <cols>
    <col min="1" max="1" width="48.42578125" style="76" customWidth="1"/>
    <col min="2" max="2" width="1.7109375" style="76" customWidth="1"/>
    <col min="3" max="3" width="10.5703125" style="76" bestFit="1" customWidth="1"/>
    <col min="4" max="4" width="1.7109375" style="76" customWidth="1"/>
    <col min="5" max="5" width="12.140625" style="76" customWidth="1"/>
    <col min="6" max="6" width="1.7109375" style="76" customWidth="1"/>
    <col min="7" max="7" width="11.7109375" style="76" bestFit="1" customWidth="1"/>
    <col min="8" max="8" width="1.7109375" style="76" customWidth="1"/>
    <col min="9" max="9" width="15.28515625" style="76" customWidth="1"/>
    <col min="10" max="10" width="13.140625" style="76" customWidth="1"/>
    <col min="11" max="11" width="1.7109375" style="76" customWidth="1"/>
    <col min="12" max="12" width="10.42578125" style="99" customWidth="1"/>
    <col min="13" max="16384" width="9.140625" style="76"/>
  </cols>
  <sheetData>
    <row r="1" spans="1:16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6">
      <c r="A2" s="277" t="s">
        <v>76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6">
      <c r="A3" s="277" t="s">
        <v>77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</row>
    <row r="4" spans="1:16" ht="15" customHeight="1">
      <c r="A4" s="277" t="str">
        <f>'Allocation '!A3:U3</f>
        <v>As of January 31, 2025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6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161"/>
    </row>
    <row r="6" spans="1:16" ht="30.75" thickBot="1">
      <c r="A6" s="162" t="s">
        <v>3</v>
      </c>
      <c r="B6" s="163"/>
      <c r="C6" s="89" t="s">
        <v>7</v>
      </c>
      <c r="D6" s="164"/>
      <c r="E6" s="89" t="s">
        <v>8</v>
      </c>
      <c r="F6" s="164"/>
      <c r="G6" s="89" t="s">
        <v>9</v>
      </c>
      <c r="H6" s="164"/>
      <c r="I6" s="42" t="s">
        <v>78</v>
      </c>
      <c r="J6" s="42" t="s">
        <v>79</v>
      </c>
      <c r="K6" s="43"/>
      <c r="L6" s="165" t="s">
        <v>80</v>
      </c>
    </row>
    <row r="7" spans="1:16">
      <c r="A7" s="76" t="s">
        <v>81</v>
      </c>
      <c r="C7" s="75">
        <f>'Allocation '!L7</f>
        <v>20145</v>
      </c>
      <c r="D7" s="166"/>
      <c r="E7" s="167"/>
      <c r="F7" s="166"/>
      <c r="G7" s="136">
        <f>+C7+E7</f>
        <v>20145</v>
      </c>
      <c r="H7" s="166"/>
      <c r="I7" s="166"/>
      <c r="J7" s="136">
        <v>0</v>
      </c>
      <c r="K7" s="168"/>
      <c r="L7" s="132">
        <f>G7-I7-J7</f>
        <v>20145</v>
      </c>
      <c r="M7" s="129"/>
    </row>
    <row r="8" spans="1:16">
      <c r="A8" s="76" t="s">
        <v>25</v>
      </c>
      <c r="C8" s="166">
        <f>'Allocation '!L12</f>
        <v>70578.814999999988</v>
      </c>
      <c r="D8" s="166"/>
      <c r="E8" s="167"/>
      <c r="F8" s="166"/>
      <c r="G8" s="136">
        <f t="shared" ref="G8:G10" si="0">+C8+E8</f>
        <v>70578.814999999988</v>
      </c>
      <c r="H8" s="166"/>
      <c r="I8" s="166"/>
      <c r="J8" s="136">
        <v>0</v>
      </c>
      <c r="K8" s="168"/>
      <c r="L8" s="132">
        <f>G8-I8-J8</f>
        <v>70578.814999999988</v>
      </c>
    </row>
    <row r="9" spans="1:16">
      <c r="A9" s="76" t="s">
        <v>28</v>
      </c>
      <c r="C9" s="167">
        <f>'Allocation '!L16</f>
        <v>65018.369999999995</v>
      </c>
      <c r="D9" s="166"/>
      <c r="E9" s="167"/>
      <c r="F9" s="166"/>
      <c r="G9" s="136">
        <f t="shared" si="0"/>
        <v>65018.369999999995</v>
      </c>
      <c r="H9" s="166"/>
      <c r="I9" s="166"/>
      <c r="J9" s="136">
        <v>0</v>
      </c>
      <c r="K9" s="168"/>
      <c r="L9" s="132">
        <f>G9-I9-J9</f>
        <v>65018.369999999995</v>
      </c>
    </row>
    <row r="10" spans="1:16">
      <c r="A10" s="76" t="s">
        <v>82</v>
      </c>
      <c r="C10" s="75">
        <f>'Allocation '!F19</f>
        <v>100982</v>
      </c>
      <c r="D10" s="166"/>
      <c r="E10" s="167">
        <f>'Allocation '!L19-100982</f>
        <v>211395.14</v>
      </c>
      <c r="F10" s="166"/>
      <c r="G10" s="136">
        <f t="shared" si="0"/>
        <v>312377.14</v>
      </c>
      <c r="H10" s="166"/>
      <c r="I10" s="166"/>
      <c r="J10" s="136"/>
      <c r="K10" s="168"/>
      <c r="L10" s="132"/>
      <c r="N10" s="94"/>
    </row>
    <row r="11" spans="1:16">
      <c r="A11" s="169" t="s">
        <v>32</v>
      </c>
      <c r="C11" s="170">
        <f>SUM(C7:C10)</f>
        <v>256724.185</v>
      </c>
      <c r="D11" s="166"/>
      <c r="E11" s="170">
        <f>SUM(E7:E10)</f>
        <v>211395.14</v>
      </c>
      <c r="F11" s="170">
        <f>SUM(F7:F9)</f>
        <v>0</v>
      </c>
      <c r="G11" s="170">
        <f>SUM(G7:G10)</f>
        <v>468119.32500000001</v>
      </c>
      <c r="H11" s="166"/>
      <c r="I11" s="170">
        <f>SUM(I7:I9)</f>
        <v>0</v>
      </c>
      <c r="J11" s="170">
        <f>SUM(J7:J9)</f>
        <v>0</v>
      </c>
      <c r="K11" s="168"/>
      <c r="L11" s="170">
        <f>SUM(L7:L9)</f>
        <v>155742.185</v>
      </c>
    </row>
    <row r="12" spans="1:16">
      <c r="C12" s="167">
        <v>0</v>
      </c>
      <c r="D12" s="166"/>
      <c r="E12" s="167"/>
      <c r="F12" s="166"/>
      <c r="G12" s="136"/>
      <c r="H12" s="166"/>
      <c r="I12" s="166"/>
      <c r="J12" s="136"/>
      <c r="K12" s="168"/>
      <c r="L12" s="132"/>
    </row>
    <row r="13" spans="1:16">
      <c r="A13" s="13" t="s">
        <v>40</v>
      </c>
      <c r="C13" s="167">
        <v>24000</v>
      </c>
      <c r="D13" s="166"/>
      <c r="E13" s="167">
        <v>0</v>
      </c>
      <c r="F13" s="166"/>
      <c r="G13" s="136">
        <f t="shared" ref="G13:G28" si="1">C13+E13</f>
        <v>24000</v>
      </c>
      <c r="H13" s="166"/>
      <c r="I13" s="94"/>
      <c r="J13" s="136">
        <v>0</v>
      </c>
      <c r="K13" s="168"/>
      <c r="L13" s="132">
        <f t="shared" ref="L13:L39" si="2">G13-I13-J13</f>
        <v>24000</v>
      </c>
      <c r="P13" s="94"/>
    </row>
    <row r="14" spans="1:16">
      <c r="A14" s="13" t="s">
        <v>41</v>
      </c>
      <c r="C14" s="167">
        <v>4800</v>
      </c>
      <c r="D14" s="166"/>
      <c r="E14" s="167">
        <v>0</v>
      </c>
      <c r="F14" s="166"/>
      <c r="G14" s="136">
        <f t="shared" si="1"/>
        <v>4800</v>
      </c>
      <c r="H14" s="166"/>
      <c r="I14" s="166"/>
      <c r="J14" s="136">
        <v>0</v>
      </c>
      <c r="K14" s="168"/>
      <c r="L14" s="132">
        <f t="shared" si="2"/>
        <v>4800</v>
      </c>
    </row>
    <row r="15" spans="1:16">
      <c r="A15" s="13" t="s">
        <v>42</v>
      </c>
      <c r="C15" s="167">
        <v>12000</v>
      </c>
      <c r="D15" s="166"/>
      <c r="E15" s="167">
        <v>0</v>
      </c>
      <c r="F15" s="166"/>
      <c r="G15" s="136">
        <f t="shared" si="1"/>
        <v>12000</v>
      </c>
      <c r="H15" s="166"/>
      <c r="I15" s="166"/>
      <c r="J15" s="136">
        <v>0</v>
      </c>
      <c r="K15" s="168"/>
      <c r="L15" s="132">
        <f t="shared" si="2"/>
        <v>12000</v>
      </c>
    </row>
    <row r="16" spans="1:16" ht="15" customHeight="1">
      <c r="A16" s="13" t="s">
        <v>43</v>
      </c>
      <c r="C16" s="167">
        <v>6000</v>
      </c>
      <c r="D16" s="166"/>
      <c r="E16" s="167">
        <v>0</v>
      </c>
      <c r="F16" s="166"/>
      <c r="G16" s="136">
        <f t="shared" si="1"/>
        <v>6000</v>
      </c>
      <c r="H16" s="166"/>
      <c r="I16" s="166"/>
      <c r="J16" s="136">
        <v>0</v>
      </c>
      <c r="K16" s="168"/>
      <c r="L16" s="132">
        <f t="shared" si="2"/>
        <v>6000</v>
      </c>
    </row>
    <row r="17" spans="1:14" ht="15" customHeight="1">
      <c r="A17" s="5" t="s">
        <v>44</v>
      </c>
      <c r="C17" s="167">
        <v>1500</v>
      </c>
      <c r="D17" s="166"/>
      <c r="E17" s="167">
        <v>0</v>
      </c>
      <c r="F17" s="166"/>
      <c r="G17" s="136">
        <f t="shared" si="1"/>
        <v>1500</v>
      </c>
      <c r="H17" s="166"/>
      <c r="I17" s="166"/>
      <c r="J17" s="136">
        <v>0</v>
      </c>
      <c r="K17" s="168"/>
      <c r="L17" s="132">
        <f t="shared" si="2"/>
        <v>1500</v>
      </c>
      <c r="N17" s="94"/>
    </row>
    <row r="18" spans="1:14" ht="15" customHeight="1">
      <c r="A18" s="5" t="s">
        <v>45</v>
      </c>
      <c r="C18" s="167">
        <v>2000</v>
      </c>
      <c r="D18" s="166"/>
      <c r="E18" s="167">
        <v>0</v>
      </c>
      <c r="F18" s="166"/>
      <c r="G18" s="136">
        <f t="shared" si="1"/>
        <v>2000</v>
      </c>
      <c r="H18" s="166"/>
      <c r="I18" s="166">
        <v>0</v>
      </c>
      <c r="J18" s="136">
        <v>0</v>
      </c>
      <c r="K18" s="168"/>
      <c r="L18" s="132">
        <f t="shared" si="2"/>
        <v>2000</v>
      </c>
    </row>
    <row r="19" spans="1:14" ht="15" hidden="1" customHeight="1">
      <c r="A19" s="5" t="s">
        <v>83</v>
      </c>
      <c r="C19" s="167">
        <v>0</v>
      </c>
      <c r="D19" s="166"/>
      <c r="E19" s="167">
        <v>0</v>
      </c>
      <c r="F19" s="166"/>
      <c r="G19" s="136">
        <f t="shared" si="1"/>
        <v>0</v>
      </c>
      <c r="H19" s="166"/>
      <c r="I19" s="166"/>
      <c r="J19" s="136">
        <v>0</v>
      </c>
      <c r="K19" s="168"/>
      <c r="L19" s="132">
        <f t="shared" si="2"/>
        <v>0</v>
      </c>
    </row>
    <row r="20" spans="1:14" ht="15" customHeight="1">
      <c r="A20" s="5" t="s">
        <v>46</v>
      </c>
      <c r="C20" s="167">
        <v>7000</v>
      </c>
      <c r="D20" s="166"/>
      <c r="E20" s="167">
        <v>0</v>
      </c>
      <c r="F20" s="166"/>
      <c r="G20" s="136">
        <f t="shared" si="1"/>
        <v>7000</v>
      </c>
      <c r="H20" s="166"/>
      <c r="I20" s="166"/>
      <c r="J20" s="136">
        <v>0</v>
      </c>
      <c r="K20" s="168"/>
      <c r="L20" s="132">
        <f t="shared" si="2"/>
        <v>7000</v>
      </c>
    </row>
    <row r="21" spans="1:14" ht="15" customHeight="1">
      <c r="A21" s="5" t="s">
        <v>47</v>
      </c>
      <c r="C21" s="167">
        <v>35000</v>
      </c>
      <c r="D21" s="168"/>
      <c r="E21" s="167">
        <v>0</v>
      </c>
      <c r="F21" s="168"/>
      <c r="G21" s="136">
        <f t="shared" si="1"/>
        <v>35000</v>
      </c>
      <c r="H21" s="168"/>
      <c r="I21" s="168">
        <v>0</v>
      </c>
      <c r="J21" s="136">
        <v>23180</v>
      </c>
      <c r="K21" s="168"/>
      <c r="L21" s="132">
        <f t="shared" si="2"/>
        <v>11820</v>
      </c>
    </row>
    <row r="22" spans="1:14" ht="15" hidden="1" customHeight="1">
      <c r="A22" s="5" t="s">
        <v>48</v>
      </c>
      <c r="C22" s="167">
        <v>0</v>
      </c>
      <c r="D22" s="166"/>
      <c r="E22" s="167">
        <v>0</v>
      </c>
      <c r="F22" s="166"/>
      <c r="G22" s="136">
        <f t="shared" si="1"/>
        <v>0</v>
      </c>
      <c r="H22" s="166"/>
      <c r="I22" s="168"/>
      <c r="J22" s="136">
        <v>0</v>
      </c>
      <c r="K22" s="168"/>
      <c r="L22" s="132">
        <f t="shared" si="2"/>
        <v>0</v>
      </c>
    </row>
    <row r="23" spans="1:14" ht="15" hidden="1" customHeight="1">
      <c r="A23" s="5" t="s">
        <v>49</v>
      </c>
      <c r="C23" s="167">
        <v>0</v>
      </c>
      <c r="D23" s="166"/>
      <c r="E23" s="167">
        <v>0</v>
      </c>
      <c r="F23" s="166"/>
      <c r="G23" s="136">
        <f t="shared" si="1"/>
        <v>0</v>
      </c>
      <c r="H23" s="166"/>
      <c r="I23" s="168"/>
      <c r="J23" s="136">
        <v>0</v>
      </c>
      <c r="K23" s="168"/>
      <c r="L23" s="132">
        <f t="shared" si="2"/>
        <v>0</v>
      </c>
    </row>
    <row r="24" spans="1:14" ht="15" hidden="1" customHeight="1">
      <c r="A24" s="5" t="s">
        <v>50</v>
      </c>
      <c r="C24" s="167">
        <v>0</v>
      </c>
      <c r="D24" s="166"/>
      <c r="E24" s="167">
        <v>0</v>
      </c>
      <c r="F24" s="166"/>
      <c r="G24" s="136">
        <f t="shared" si="1"/>
        <v>0</v>
      </c>
      <c r="H24" s="166"/>
      <c r="I24" s="168"/>
      <c r="J24" s="136">
        <v>0</v>
      </c>
      <c r="K24" s="168"/>
      <c r="L24" s="132">
        <f t="shared" si="2"/>
        <v>0</v>
      </c>
    </row>
    <row r="25" spans="1:14" ht="15" customHeight="1">
      <c r="A25" s="5" t="s">
        <v>51</v>
      </c>
      <c r="C25" s="167">
        <v>25000</v>
      </c>
      <c r="D25" s="166"/>
      <c r="E25" s="167"/>
      <c r="F25" s="166"/>
      <c r="G25" s="136">
        <f t="shared" si="1"/>
        <v>25000</v>
      </c>
      <c r="H25" s="166"/>
      <c r="I25" s="168"/>
      <c r="J25" s="136"/>
      <c r="K25" s="168"/>
      <c r="L25" s="132">
        <f t="shared" si="2"/>
        <v>25000</v>
      </c>
    </row>
    <row r="26" spans="1:14" ht="15" customHeight="1">
      <c r="A26" s="5" t="s">
        <v>52</v>
      </c>
      <c r="C26" s="167">
        <v>3150</v>
      </c>
      <c r="D26" s="166"/>
      <c r="E26" s="167"/>
      <c r="F26" s="166"/>
      <c r="G26" s="136">
        <f t="shared" si="1"/>
        <v>3150</v>
      </c>
      <c r="H26" s="166"/>
      <c r="I26" s="168"/>
      <c r="J26" s="136"/>
      <c r="K26" s="168"/>
      <c r="L26" s="132">
        <f t="shared" si="2"/>
        <v>3150</v>
      </c>
    </row>
    <row r="27" spans="1:14" ht="15" customHeight="1">
      <c r="A27" s="5" t="s">
        <v>53</v>
      </c>
      <c r="C27" s="167">
        <v>161645.14000000001</v>
      </c>
      <c r="D27" s="166"/>
      <c r="E27" s="167"/>
      <c r="F27" s="166"/>
      <c r="G27" s="136">
        <f t="shared" si="1"/>
        <v>161645.14000000001</v>
      </c>
      <c r="H27" s="166"/>
      <c r="I27" s="168"/>
      <c r="J27" s="136">
        <v>0</v>
      </c>
      <c r="K27" s="168"/>
      <c r="L27" s="132">
        <f t="shared" si="2"/>
        <v>161645.14000000001</v>
      </c>
    </row>
    <row r="28" spans="1:14" ht="15" customHeight="1">
      <c r="A28" s="5" t="s">
        <v>54</v>
      </c>
      <c r="C28" s="167">
        <v>21600</v>
      </c>
      <c r="D28" s="166"/>
      <c r="E28" s="167"/>
      <c r="F28" s="166"/>
      <c r="G28" s="136">
        <f t="shared" si="1"/>
        <v>21600</v>
      </c>
      <c r="H28" s="166"/>
      <c r="I28" s="168"/>
      <c r="J28" s="136"/>
      <c r="K28" s="168"/>
      <c r="L28" s="132">
        <f t="shared" si="2"/>
        <v>21600</v>
      </c>
    </row>
    <row r="29" spans="1:14" ht="15" customHeight="1">
      <c r="A29" s="5" t="s">
        <v>84</v>
      </c>
      <c r="C29" s="167">
        <v>0</v>
      </c>
      <c r="D29" s="166"/>
      <c r="E29" s="167">
        <v>0</v>
      </c>
      <c r="F29" s="166"/>
      <c r="G29" s="136">
        <f t="shared" ref="G29:G39" si="3">+C29+E29</f>
        <v>0</v>
      </c>
      <c r="H29" s="166"/>
      <c r="I29" s="168"/>
      <c r="J29" s="136">
        <v>0</v>
      </c>
      <c r="K29" s="168"/>
      <c r="L29" s="132">
        <f t="shared" si="2"/>
        <v>0</v>
      </c>
    </row>
    <row r="30" spans="1:14" ht="15" customHeight="1">
      <c r="A30" s="5" t="s">
        <v>55</v>
      </c>
      <c r="C30" s="167">
        <v>35000</v>
      </c>
      <c r="D30" s="166"/>
      <c r="E30" s="167">
        <v>0</v>
      </c>
      <c r="F30" s="166"/>
      <c r="G30" s="136">
        <f t="shared" si="3"/>
        <v>35000</v>
      </c>
      <c r="H30" s="166"/>
      <c r="I30" s="168"/>
      <c r="J30" s="136">
        <v>0</v>
      </c>
      <c r="K30" s="168"/>
      <c r="L30" s="132">
        <f t="shared" si="2"/>
        <v>35000</v>
      </c>
    </row>
    <row r="31" spans="1:14" ht="15" customHeight="1">
      <c r="A31" s="5" t="s">
        <v>85</v>
      </c>
      <c r="C31" s="167">
        <v>100982</v>
      </c>
      <c r="D31" s="166"/>
      <c r="E31" s="167">
        <v>0</v>
      </c>
      <c r="F31" s="166"/>
      <c r="G31" s="136">
        <f t="shared" si="3"/>
        <v>100982</v>
      </c>
      <c r="H31" s="166"/>
      <c r="I31" s="168">
        <v>0</v>
      </c>
      <c r="J31" s="136">
        <v>0</v>
      </c>
      <c r="K31" s="168"/>
      <c r="L31" s="132">
        <f t="shared" si="2"/>
        <v>100982</v>
      </c>
    </row>
    <row r="32" spans="1:14" ht="15" hidden="1" customHeight="1">
      <c r="A32" s="5" t="s">
        <v>86</v>
      </c>
      <c r="C32" s="167">
        <v>0</v>
      </c>
      <c r="D32" s="166"/>
      <c r="E32" s="167">
        <v>0</v>
      </c>
      <c r="F32" s="166"/>
      <c r="G32" s="136">
        <f>+C32+E32</f>
        <v>0</v>
      </c>
      <c r="H32" s="166"/>
      <c r="I32" s="168"/>
      <c r="J32" s="136">
        <v>0</v>
      </c>
      <c r="K32" s="168"/>
      <c r="L32" s="132">
        <f t="shared" si="2"/>
        <v>0</v>
      </c>
    </row>
    <row r="33" spans="1:16" ht="15" customHeight="1">
      <c r="A33" s="5" t="s">
        <v>87</v>
      </c>
      <c r="C33" s="167">
        <v>5000</v>
      </c>
      <c r="D33" s="166"/>
      <c r="E33" s="167">
        <v>0</v>
      </c>
      <c r="F33" s="166"/>
      <c r="G33" s="136">
        <f>+C33+E33</f>
        <v>5000</v>
      </c>
      <c r="H33" s="166"/>
      <c r="I33" s="168"/>
      <c r="J33" s="136">
        <v>0</v>
      </c>
      <c r="K33" s="168"/>
      <c r="L33" s="132">
        <f t="shared" si="2"/>
        <v>5000</v>
      </c>
    </row>
    <row r="34" spans="1:16" ht="15" hidden="1" customHeight="1">
      <c r="A34" s="5" t="s">
        <v>58</v>
      </c>
      <c r="C34" s="167">
        <v>0</v>
      </c>
      <c r="D34" s="166"/>
      <c r="E34" s="167">
        <v>0</v>
      </c>
      <c r="F34" s="166"/>
      <c r="G34" s="136">
        <f>+C34+E34</f>
        <v>0</v>
      </c>
      <c r="H34" s="166"/>
      <c r="I34" s="168"/>
      <c r="J34" s="136">
        <v>0</v>
      </c>
      <c r="K34" s="168"/>
      <c r="L34" s="132">
        <f t="shared" si="2"/>
        <v>0</v>
      </c>
    </row>
    <row r="35" spans="1:16" ht="15" hidden="1" customHeight="1">
      <c r="A35" s="13" t="s">
        <v>59</v>
      </c>
      <c r="C35" s="167">
        <v>0</v>
      </c>
      <c r="D35" s="166"/>
      <c r="E35" s="167">
        <v>0</v>
      </c>
      <c r="F35" s="166"/>
      <c r="G35" s="136">
        <f t="shared" ref="G35:G36" si="4">+C35+E35</f>
        <v>0</v>
      </c>
      <c r="H35" s="166"/>
      <c r="I35" s="168"/>
      <c r="J35" s="136">
        <v>0</v>
      </c>
      <c r="K35" s="168"/>
      <c r="L35" s="132">
        <f t="shared" si="2"/>
        <v>0</v>
      </c>
    </row>
    <row r="36" spans="1:16" ht="15" hidden="1" customHeight="1">
      <c r="A36" s="13" t="s">
        <v>60</v>
      </c>
      <c r="C36" s="167">
        <v>0</v>
      </c>
      <c r="D36" s="166"/>
      <c r="E36" s="167">
        <v>0</v>
      </c>
      <c r="F36" s="166"/>
      <c r="G36" s="136">
        <f t="shared" si="4"/>
        <v>0</v>
      </c>
      <c r="H36" s="166"/>
      <c r="I36" s="168"/>
      <c r="J36" s="136">
        <v>0</v>
      </c>
      <c r="K36" s="168"/>
      <c r="L36" s="132">
        <f t="shared" si="2"/>
        <v>0</v>
      </c>
    </row>
    <row r="37" spans="1:16" ht="15" hidden="1" customHeight="1">
      <c r="A37" s="13" t="s">
        <v>61</v>
      </c>
      <c r="C37" s="167">
        <v>0</v>
      </c>
      <c r="D37" s="166"/>
      <c r="E37" s="167">
        <v>0</v>
      </c>
      <c r="F37" s="166"/>
      <c r="G37" s="136">
        <f t="shared" si="3"/>
        <v>0</v>
      </c>
      <c r="H37" s="166"/>
      <c r="I37" s="168"/>
      <c r="J37" s="136">
        <v>0</v>
      </c>
      <c r="K37" s="168"/>
      <c r="L37" s="132">
        <f t="shared" si="2"/>
        <v>0</v>
      </c>
    </row>
    <row r="38" spans="1:16" ht="15" hidden="1" customHeight="1">
      <c r="A38" s="13" t="s">
        <v>88</v>
      </c>
      <c r="C38" s="167">
        <v>0</v>
      </c>
      <c r="D38" s="166"/>
      <c r="E38" s="167">
        <v>0</v>
      </c>
      <c r="F38" s="166"/>
      <c r="G38" s="136">
        <f t="shared" si="3"/>
        <v>0</v>
      </c>
      <c r="H38" s="166"/>
      <c r="I38" s="168"/>
      <c r="J38" s="136">
        <v>0</v>
      </c>
      <c r="K38" s="168"/>
      <c r="L38" s="132">
        <f t="shared" si="2"/>
        <v>0</v>
      </c>
    </row>
    <row r="39" spans="1:16" ht="15" customHeight="1">
      <c r="A39" s="13" t="s">
        <v>89</v>
      </c>
      <c r="C39" s="167">
        <v>20000</v>
      </c>
      <c r="D39" s="166"/>
      <c r="E39" s="75">
        <v>0</v>
      </c>
      <c r="F39" s="166"/>
      <c r="G39" s="136">
        <f t="shared" si="3"/>
        <v>20000</v>
      </c>
      <c r="H39" s="166"/>
      <c r="I39" s="166"/>
      <c r="J39" s="136">
        <v>0</v>
      </c>
      <c r="K39" s="168"/>
      <c r="L39" s="132">
        <f t="shared" si="2"/>
        <v>20000</v>
      </c>
    </row>
    <row r="40" spans="1:16" ht="15" customHeight="1">
      <c r="A40" s="44" t="s">
        <v>90</v>
      </c>
      <c r="C40" s="171">
        <f>SUM(C13:C39)</f>
        <v>464677.14</v>
      </c>
      <c r="D40" s="166"/>
      <c r="E40" s="171">
        <f>SUM(E13:E39)</f>
        <v>0</v>
      </c>
      <c r="F40" s="166"/>
      <c r="G40" s="171">
        <f>SUM(G13:G39)</f>
        <v>464677.14</v>
      </c>
      <c r="H40" s="166"/>
      <c r="I40" s="171">
        <f>SUM(I13:I39)</f>
        <v>0</v>
      </c>
      <c r="J40" s="171">
        <f>SUM(J13:J39)</f>
        <v>23180</v>
      </c>
      <c r="K40" s="166"/>
      <c r="L40" s="171">
        <f>SUM(L13:L39)</f>
        <v>441497.14</v>
      </c>
      <c r="M40" s="94"/>
      <c r="P40" s="108"/>
    </row>
    <row r="41" spans="1:16">
      <c r="A41" s="44" t="s">
        <v>91</v>
      </c>
      <c r="C41" s="171">
        <f>C11-C40</f>
        <v>-207952.95500000002</v>
      </c>
      <c r="D41" s="166"/>
      <c r="E41" s="166"/>
      <c r="F41" s="166"/>
      <c r="G41" s="171">
        <f>G11-G40</f>
        <v>3442.1849999999977</v>
      </c>
      <c r="H41" s="166"/>
      <c r="I41" s="166"/>
      <c r="J41" s="168"/>
      <c r="K41" s="166"/>
      <c r="L41" s="172"/>
      <c r="M41" s="94"/>
    </row>
    <row r="42" spans="1:16" ht="15" customHeight="1">
      <c r="J42" s="94"/>
    </row>
    <row r="43" spans="1:16" ht="15" customHeight="1">
      <c r="J43" s="94"/>
    </row>
    <row r="44" spans="1:16" ht="15" customHeight="1">
      <c r="J44" s="94"/>
    </row>
    <row r="45" spans="1:16" ht="15" customHeight="1"/>
    <row r="46" spans="1:16" ht="15" customHeight="1"/>
    <row r="47" spans="1:16" ht="15" hidden="1" customHeight="1"/>
    <row r="48" spans="1:16" ht="15" hidden="1" customHeight="1"/>
    <row r="49" spans="12:12" ht="15" hidden="1" customHeight="1"/>
    <row r="50" spans="12:12" ht="15" hidden="1" customHeight="1"/>
    <row r="51" spans="12:12">
      <c r="L51" s="77"/>
    </row>
    <row r="52" spans="12:12">
      <c r="L52" s="77"/>
    </row>
    <row r="53" spans="12:12">
      <c r="L53" s="77"/>
    </row>
    <row r="54" spans="12:12">
      <c r="L54" s="77"/>
    </row>
    <row r="55" spans="12:12">
      <c r="L55" s="77"/>
    </row>
    <row r="56" spans="12:12">
      <c r="L56" s="77"/>
    </row>
    <row r="57" spans="12:12">
      <c r="L57" s="77"/>
    </row>
    <row r="58" spans="12:12">
      <c r="L58" s="77"/>
    </row>
    <row r="59" spans="12:12">
      <c r="L59" s="77"/>
    </row>
    <row r="60" spans="12:12">
      <c r="L60" s="77"/>
    </row>
    <row r="61" spans="12:12">
      <c r="L61" s="77"/>
    </row>
    <row r="62" spans="12:12">
      <c r="L62" s="77"/>
    </row>
    <row r="63" spans="12:12">
      <c r="L63" s="77"/>
    </row>
    <row r="64" spans="12:12">
      <c r="L64" s="77"/>
    </row>
    <row r="65" spans="12:12">
      <c r="L65" s="77"/>
    </row>
    <row r="66" spans="12:12">
      <c r="L66" s="77"/>
    </row>
    <row r="67" spans="12:12">
      <c r="L67" s="77"/>
    </row>
    <row r="68" spans="12:12">
      <c r="L68" s="77"/>
    </row>
    <row r="69" spans="12:12">
      <c r="L69" s="77"/>
    </row>
    <row r="70" spans="12:12">
      <c r="L70" s="77"/>
    </row>
    <row r="71" spans="12:12">
      <c r="L71" s="77"/>
    </row>
    <row r="72" spans="12:12">
      <c r="L72" s="77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0C76-5CB7-4AE3-B79A-987D0AA3D3E6}">
  <sheetPr>
    <tabColor rgb="FFFFFF00"/>
  </sheetPr>
  <dimension ref="A1:X57"/>
  <sheetViews>
    <sheetView zoomScaleNormal="100" workbookViewId="0">
      <pane xSplit="9" ySplit="6" topLeftCell="J19" activePane="bottomRight" state="frozen"/>
      <selection pane="bottomRight" activeCell="A23" sqref="A23"/>
      <selection pane="bottomLeft" activeCell="A7" sqref="A7"/>
      <selection pane="topRight" activeCell="J1" sqref="J1"/>
    </sheetView>
  </sheetViews>
  <sheetFormatPr defaultColWidth="9.140625" defaultRowHeight="15"/>
  <cols>
    <col min="1" max="1" width="32.5703125" style="76" bestFit="1" customWidth="1"/>
    <col min="2" max="2" width="1.7109375" style="76" customWidth="1"/>
    <col min="3" max="3" width="10.5703125" style="76" bestFit="1" customWidth="1"/>
    <col min="4" max="4" width="1.7109375" style="76" customWidth="1"/>
    <col min="5" max="5" width="11.5703125" style="76" customWidth="1"/>
    <col min="6" max="6" width="12.42578125" style="76" hidden="1" customWidth="1"/>
    <col min="7" max="7" width="1.7109375" style="76" customWidth="1"/>
    <col min="8" max="8" width="11.7109375" style="76" bestFit="1" customWidth="1"/>
    <col min="9" max="9" width="1.7109375" style="76" customWidth="1"/>
    <col min="10" max="11" width="14" style="76" customWidth="1"/>
    <col min="12" max="12" width="1.7109375" style="76" customWidth="1"/>
    <col min="13" max="13" width="10.140625" style="76" customWidth="1"/>
    <col min="14" max="14" width="9.140625" style="76"/>
    <col min="15" max="15" width="12.85546875" style="76" customWidth="1"/>
    <col min="16" max="16384" width="9.140625" style="76"/>
  </cols>
  <sheetData>
    <row r="1" spans="1:15" ht="14.45" customHeight="1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5" ht="14.45" customHeight="1">
      <c r="A2" s="277" t="s">
        <v>92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5" ht="14.45" customHeight="1">
      <c r="A3" s="277" t="s">
        <v>77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5" ht="15" customHeight="1">
      <c r="A4" s="277" t="str">
        <f>'Allocation '!A3:U3</f>
        <v>As of January 31, 2025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5" ht="14.4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5" ht="67.150000000000006" customHeight="1" thickBot="1">
      <c r="A6" s="173" t="s">
        <v>3</v>
      </c>
      <c r="B6" s="174"/>
      <c r="C6" s="175" t="s">
        <v>7</v>
      </c>
      <c r="D6" s="176"/>
      <c r="E6" s="175" t="s">
        <v>8</v>
      </c>
      <c r="F6" s="175" t="s">
        <v>93</v>
      </c>
      <c r="G6" s="176"/>
      <c r="H6" s="175" t="s">
        <v>9</v>
      </c>
      <c r="I6" s="176"/>
      <c r="J6" s="45" t="s">
        <v>78</v>
      </c>
      <c r="K6" s="45" t="s">
        <v>79</v>
      </c>
      <c r="L6" s="46"/>
      <c r="M6" s="175" t="s">
        <v>80</v>
      </c>
      <c r="N6" s="5"/>
    </row>
    <row r="7" spans="1:15" ht="12" customHeight="1">
      <c r="A7" s="5" t="s">
        <v>25</v>
      </c>
      <c r="B7" s="5"/>
      <c r="C7" s="177">
        <f>'Allocation '!M12</f>
        <v>82743.25</v>
      </c>
      <c r="D7" s="178"/>
      <c r="E7" s="177">
        <v>42293</v>
      </c>
      <c r="F7" s="177"/>
      <c r="G7" s="178"/>
      <c r="H7" s="179">
        <f>C7+E7</f>
        <v>125036.25</v>
      </c>
      <c r="I7" s="178"/>
      <c r="J7" s="178">
        <v>0</v>
      </c>
      <c r="K7" s="179">
        <v>0</v>
      </c>
      <c r="L7" s="180"/>
      <c r="M7" s="179">
        <f>H7-K7</f>
        <v>125036.25</v>
      </c>
      <c r="N7" s="5"/>
    </row>
    <row r="8" spans="1:15" ht="12" customHeight="1">
      <c r="A8" s="5" t="s">
        <v>94</v>
      </c>
      <c r="B8" s="5"/>
      <c r="C8" s="177"/>
      <c r="D8" s="178"/>
      <c r="E8" s="177">
        <v>0</v>
      </c>
      <c r="F8" s="177"/>
      <c r="G8" s="178"/>
      <c r="H8" s="179">
        <f>+C8+E8</f>
        <v>0</v>
      </c>
      <c r="I8" s="178"/>
      <c r="J8" s="178"/>
      <c r="K8" s="179">
        <v>0</v>
      </c>
      <c r="L8" s="180"/>
      <c r="M8" s="179">
        <f>H8-K8</f>
        <v>0</v>
      </c>
      <c r="N8" s="5"/>
    </row>
    <row r="9" spans="1:15" ht="12" customHeight="1">
      <c r="A9" s="5" t="s">
        <v>28</v>
      </c>
      <c r="B9" s="5"/>
      <c r="C9" s="75">
        <f>'Allocation '!M16</f>
        <v>74964.05</v>
      </c>
      <c r="D9" s="178"/>
      <c r="E9" s="177">
        <v>0</v>
      </c>
      <c r="F9" s="177"/>
      <c r="G9" s="178"/>
      <c r="H9" s="179">
        <f>C9+E9</f>
        <v>74964.05</v>
      </c>
      <c r="I9" s="178"/>
      <c r="J9" s="178">
        <v>0</v>
      </c>
      <c r="K9" s="179">
        <v>0</v>
      </c>
      <c r="L9" s="180"/>
      <c r="M9" s="179">
        <f>H9-K9</f>
        <v>74964.05</v>
      </c>
      <c r="N9" s="5"/>
    </row>
    <row r="10" spans="1:15" ht="12" customHeight="1">
      <c r="A10" s="5" t="s">
        <v>95</v>
      </c>
      <c r="B10" s="5"/>
      <c r="C10" s="177">
        <v>0</v>
      </c>
      <c r="D10" s="178"/>
      <c r="E10" s="177">
        <v>0</v>
      </c>
      <c r="F10" s="177"/>
      <c r="G10" s="178"/>
      <c r="H10" s="179">
        <f>+C10+E10</f>
        <v>0</v>
      </c>
      <c r="I10" s="178"/>
      <c r="J10" s="178"/>
      <c r="K10" s="179">
        <v>0</v>
      </c>
      <c r="L10" s="180"/>
      <c r="M10" s="179">
        <f>H10-K10</f>
        <v>0</v>
      </c>
      <c r="N10" s="5"/>
    </row>
    <row r="11" spans="1:15" ht="12" customHeight="1">
      <c r="A11" s="44" t="s">
        <v>32</v>
      </c>
      <c r="B11" s="5"/>
      <c r="C11" s="181">
        <f>SUM(C7:C9)</f>
        <v>157707.29999999999</v>
      </c>
      <c r="D11" s="178"/>
      <c r="E11" s="181">
        <f>SUM(E7:E10)</f>
        <v>42293</v>
      </c>
      <c r="F11" s="181">
        <f>SUM(F7:F10)</f>
        <v>0</v>
      </c>
      <c r="G11" s="178"/>
      <c r="H11" s="182">
        <f>SUM(H7:H10)</f>
        <v>200000.3</v>
      </c>
      <c r="I11" s="178"/>
      <c r="J11" s="182">
        <f>SUM(J7:J9)</f>
        <v>0</v>
      </c>
      <c r="K11" s="182">
        <f>SUM(K7:K9)</f>
        <v>0</v>
      </c>
      <c r="L11" s="180"/>
      <c r="M11" s="182">
        <f>SUM(M7:M10)</f>
        <v>200000.3</v>
      </c>
      <c r="N11" s="5"/>
      <c r="O11" s="94"/>
    </row>
    <row r="12" spans="1:15" ht="12" customHeight="1">
      <c r="A12" s="13" t="s">
        <v>95</v>
      </c>
      <c r="B12" s="5"/>
      <c r="C12" s="178">
        <v>0</v>
      </c>
      <c r="D12" s="178"/>
      <c r="E12" s="178">
        <v>0</v>
      </c>
      <c r="F12" s="178"/>
      <c r="G12" s="178"/>
      <c r="H12" s="180">
        <f>+C12+E12</f>
        <v>0</v>
      </c>
      <c r="I12" s="178"/>
      <c r="J12" s="178"/>
      <c r="K12" s="180">
        <v>0</v>
      </c>
      <c r="L12" s="180"/>
      <c r="M12" s="179">
        <f>H12-K12</f>
        <v>0</v>
      </c>
      <c r="N12" s="5"/>
    </row>
    <row r="13" spans="1:15" ht="12" customHeight="1">
      <c r="A13" s="44" t="s">
        <v>96</v>
      </c>
      <c r="B13" s="5"/>
      <c r="C13" s="181">
        <f>+C12+C11</f>
        <v>157707.29999999999</v>
      </c>
      <c r="D13" s="178"/>
      <c r="E13" s="181">
        <f>+E12+E11</f>
        <v>42293</v>
      </c>
      <c r="F13" s="178"/>
      <c r="G13" s="178"/>
      <c r="H13" s="181">
        <f>+H12+H11</f>
        <v>200000.3</v>
      </c>
      <c r="I13" s="178"/>
      <c r="J13" s="181"/>
      <c r="K13" s="181">
        <f>+K12+K11</f>
        <v>0</v>
      </c>
      <c r="L13" s="180"/>
      <c r="M13" s="181">
        <f>+M12+M11</f>
        <v>200000.3</v>
      </c>
      <c r="N13" s="5"/>
    </row>
    <row r="14" spans="1:15" ht="12" customHeight="1">
      <c r="A14" s="5"/>
      <c r="B14" s="5"/>
      <c r="C14" s="177"/>
      <c r="D14" s="178"/>
      <c r="E14" s="177"/>
      <c r="F14" s="177"/>
      <c r="G14" s="178"/>
      <c r="H14" s="179"/>
      <c r="I14" s="178"/>
      <c r="J14" s="178"/>
      <c r="K14" s="179"/>
      <c r="L14" s="180"/>
      <c r="M14" s="179"/>
      <c r="N14" s="5"/>
    </row>
    <row r="15" spans="1:15" ht="15" customHeight="1">
      <c r="A15" s="5" t="s">
        <v>40</v>
      </c>
      <c r="B15" s="5"/>
      <c r="C15" s="177">
        <f>'Allocation '!M31</f>
        <v>24200</v>
      </c>
      <c r="D15" s="178"/>
      <c r="E15" s="179">
        <v>0</v>
      </c>
      <c r="F15" s="179"/>
      <c r="G15" s="178"/>
      <c r="H15" s="179">
        <f t="shared" ref="H15:H23" si="0">C15+E15</f>
        <v>24200</v>
      </c>
      <c r="I15" s="178"/>
      <c r="J15" s="178">
        <v>0</v>
      </c>
      <c r="K15" s="179">
        <v>0</v>
      </c>
      <c r="L15" s="180"/>
      <c r="M15" s="179">
        <f>H15-J15-K15</f>
        <v>24200</v>
      </c>
      <c r="N15" s="5"/>
      <c r="O15" s="183"/>
    </row>
    <row r="16" spans="1:15" ht="15" customHeight="1">
      <c r="A16" s="5" t="s">
        <v>97</v>
      </c>
      <c r="B16" s="5"/>
      <c r="C16" s="177">
        <v>0</v>
      </c>
      <c r="D16" s="178"/>
      <c r="E16" s="179">
        <v>0</v>
      </c>
      <c r="F16" s="184">
        <v>0</v>
      </c>
      <c r="G16" s="178"/>
      <c r="H16" s="179">
        <f t="shared" si="0"/>
        <v>0</v>
      </c>
      <c r="I16" s="178"/>
      <c r="J16" s="178">
        <v>0</v>
      </c>
      <c r="K16" s="179">
        <v>0</v>
      </c>
      <c r="L16" s="180"/>
      <c r="M16" s="179">
        <f t="shared" ref="M16:M35" si="1">H16-J16-K16</f>
        <v>0</v>
      </c>
      <c r="N16" s="5"/>
      <c r="O16" s="185"/>
    </row>
    <row r="17" spans="1:24" ht="15" customHeight="1">
      <c r="A17" s="5" t="s">
        <v>98</v>
      </c>
      <c r="B17" s="5"/>
      <c r="C17" s="177">
        <v>0</v>
      </c>
      <c r="D17" s="178"/>
      <c r="E17" s="179">
        <v>0</v>
      </c>
      <c r="F17" s="184">
        <v>0</v>
      </c>
      <c r="G17" s="178"/>
      <c r="H17" s="179">
        <f t="shared" si="0"/>
        <v>0</v>
      </c>
      <c r="I17" s="178"/>
      <c r="J17" s="178">
        <v>0</v>
      </c>
      <c r="K17" s="179">
        <v>0</v>
      </c>
      <c r="L17" s="180"/>
      <c r="M17" s="179">
        <f t="shared" si="1"/>
        <v>0</v>
      </c>
      <c r="N17" s="5"/>
      <c r="O17" s="185"/>
    </row>
    <row r="18" spans="1:24" ht="15" customHeight="1">
      <c r="A18" s="5" t="s">
        <v>97</v>
      </c>
      <c r="B18" s="5"/>
      <c r="C18" s="177">
        <v>0</v>
      </c>
      <c r="D18" s="178"/>
      <c r="E18" s="179">
        <v>0</v>
      </c>
      <c r="F18" s="184">
        <v>0</v>
      </c>
      <c r="G18" s="178"/>
      <c r="H18" s="179">
        <f t="shared" si="0"/>
        <v>0</v>
      </c>
      <c r="I18" s="178"/>
      <c r="J18" s="178">
        <v>0</v>
      </c>
      <c r="K18" s="179">
        <v>0</v>
      </c>
      <c r="L18" s="180"/>
      <c r="M18" s="179">
        <f t="shared" si="1"/>
        <v>0</v>
      </c>
      <c r="N18" s="5"/>
      <c r="O18" s="185"/>
    </row>
    <row r="19" spans="1:24" ht="15" customHeight="1">
      <c r="A19" s="5" t="s">
        <v>98</v>
      </c>
      <c r="B19" s="5"/>
      <c r="C19" s="177">
        <v>0</v>
      </c>
      <c r="D19" s="178"/>
      <c r="E19" s="179">
        <v>0</v>
      </c>
      <c r="F19" s="184">
        <v>0</v>
      </c>
      <c r="G19" s="178"/>
      <c r="H19" s="179">
        <f t="shared" si="0"/>
        <v>0</v>
      </c>
      <c r="I19" s="178"/>
      <c r="J19" s="178">
        <v>0</v>
      </c>
      <c r="K19" s="179">
        <v>0</v>
      </c>
      <c r="L19" s="180"/>
      <c r="M19" s="179">
        <f t="shared" si="1"/>
        <v>0</v>
      </c>
      <c r="N19" s="5"/>
      <c r="O19" s="185"/>
    </row>
    <row r="20" spans="1:24" ht="15" customHeight="1">
      <c r="A20" s="5" t="s">
        <v>99</v>
      </c>
      <c r="B20" s="5"/>
      <c r="C20" s="177">
        <v>0</v>
      </c>
      <c r="D20" s="178"/>
      <c r="E20" s="179">
        <v>0</v>
      </c>
      <c r="F20" s="184">
        <v>0</v>
      </c>
      <c r="G20" s="178"/>
      <c r="H20" s="179">
        <f t="shared" si="0"/>
        <v>0</v>
      </c>
      <c r="I20" s="178"/>
      <c r="J20" s="178">
        <v>0</v>
      </c>
      <c r="K20" s="179">
        <v>0</v>
      </c>
      <c r="L20" s="180"/>
      <c r="M20" s="179">
        <f t="shared" si="1"/>
        <v>0</v>
      </c>
      <c r="N20" s="5"/>
      <c r="O20" s="186"/>
    </row>
    <row r="21" spans="1:24" ht="15" customHeight="1">
      <c r="A21" s="5" t="s">
        <v>100</v>
      </c>
      <c r="B21" s="5"/>
      <c r="C21" s="177">
        <v>0</v>
      </c>
      <c r="D21" s="178"/>
      <c r="E21" s="179">
        <v>0</v>
      </c>
      <c r="F21" s="184">
        <v>0</v>
      </c>
      <c r="G21" s="178"/>
      <c r="H21" s="179">
        <f t="shared" si="0"/>
        <v>0</v>
      </c>
      <c r="I21" s="178"/>
      <c r="J21" s="178">
        <v>0</v>
      </c>
      <c r="K21" s="179">
        <v>0</v>
      </c>
      <c r="L21" s="180"/>
      <c r="M21" s="179">
        <f t="shared" si="1"/>
        <v>0</v>
      </c>
      <c r="N21" s="5"/>
      <c r="O21" s="186"/>
    </row>
    <row r="22" spans="1:24" ht="15" customHeight="1">
      <c r="A22" s="5" t="s">
        <v>101</v>
      </c>
      <c r="B22" s="5"/>
      <c r="C22" s="177">
        <v>0</v>
      </c>
      <c r="D22" s="178"/>
      <c r="E22" s="179">
        <v>0</v>
      </c>
      <c r="F22" s="184"/>
      <c r="G22" s="178"/>
      <c r="H22" s="179">
        <f t="shared" si="0"/>
        <v>0</v>
      </c>
      <c r="I22" s="178"/>
      <c r="J22" s="178">
        <v>0</v>
      </c>
      <c r="K22" s="179">
        <v>0</v>
      </c>
      <c r="L22" s="180"/>
      <c r="M22" s="179">
        <f t="shared" si="1"/>
        <v>0</v>
      </c>
      <c r="N22" s="5"/>
      <c r="O22" s="185"/>
    </row>
    <row r="23" spans="1:24" ht="15" customHeight="1">
      <c r="A23" s="5" t="s">
        <v>102</v>
      </c>
      <c r="B23" s="5"/>
      <c r="C23" s="177">
        <v>0</v>
      </c>
      <c r="D23" s="178"/>
      <c r="E23" s="179">
        <v>0</v>
      </c>
      <c r="F23" s="187">
        <v>0</v>
      </c>
      <c r="G23" s="178"/>
      <c r="H23" s="179">
        <f t="shared" si="0"/>
        <v>0</v>
      </c>
      <c r="I23" s="178"/>
      <c r="J23" s="178">
        <v>0</v>
      </c>
      <c r="K23" s="179">
        <v>0</v>
      </c>
      <c r="L23" s="180"/>
      <c r="M23" s="179">
        <f t="shared" si="1"/>
        <v>0</v>
      </c>
      <c r="N23" s="5"/>
      <c r="O23" s="185"/>
    </row>
    <row r="24" spans="1:24" s="244" customFormat="1" ht="15" customHeight="1">
      <c r="A24" s="260" t="s">
        <v>103</v>
      </c>
      <c r="B24" s="260"/>
      <c r="C24" s="261">
        <v>0</v>
      </c>
      <c r="D24" s="262"/>
      <c r="E24" s="263">
        <v>0</v>
      </c>
      <c r="F24" s="264">
        <v>0</v>
      </c>
      <c r="G24" s="262"/>
      <c r="H24" s="263">
        <f>C24+E24</f>
        <v>0</v>
      </c>
      <c r="I24" s="262"/>
      <c r="J24" s="262">
        <v>0</v>
      </c>
      <c r="K24" s="263">
        <v>0</v>
      </c>
      <c r="L24" s="265"/>
      <c r="M24" s="263">
        <f t="shared" si="1"/>
        <v>0</v>
      </c>
      <c r="N24" s="260"/>
      <c r="O24" s="266"/>
      <c r="X24" s="263"/>
    </row>
    <row r="25" spans="1:24" ht="15" customHeight="1">
      <c r="A25" s="5" t="s">
        <v>104</v>
      </c>
      <c r="B25" s="5"/>
      <c r="C25" s="179">
        <v>0</v>
      </c>
      <c r="D25" s="180"/>
      <c r="E25" s="179">
        <v>0</v>
      </c>
      <c r="F25" s="179">
        <v>0</v>
      </c>
      <c r="G25" s="178"/>
      <c r="H25" s="179">
        <f t="shared" ref="H25:H38" si="2">C25+E25</f>
        <v>0</v>
      </c>
      <c r="I25" s="178"/>
      <c r="J25" s="178">
        <v>0</v>
      </c>
      <c r="K25" s="179">
        <v>0</v>
      </c>
      <c r="L25" s="180"/>
      <c r="M25" s="179">
        <f t="shared" si="1"/>
        <v>0</v>
      </c>
      <c r="N25" s="5"/>
      <c r="O25" s="188"/>
      <c r="U25" s="76" t="s">
        <v>105</v>
      </c>
    </row>
    <row r="26" spans="1:24" ht="15" customHeight="1">
      <c r="A26" s="5" t="s">
        <v>106</v>
      </c>
      <c r="B26" s="5"/>
      <c r="C26" s="177">
        <v>0</v>
      </c>
      <c r="D26" s="178"/>
      <c r="E26" s="179">
        <v>0</v>
      </c>
      <c r="F26" s="187">
        <v>0</v>
      </c>
      <c r="G26" s="178"/>
      <c r="H26" s="179">
        <f t="shared" si="2"/>
        <v>0</v>
      </c>
      <c r="I26" s="178"/>
      <c r="J26" s="178">
        <v>0</v>
      </c>
      <c r="K26" s="179">
        <v>0</v>
      </c>
      <c r="L26" s="180"/>
      <c r="M26" s="179">
        <f t="shared" si="1"/>
        <v>0</v>
      </c>
      <c r="N26" s="5"/>
      <c r="O26" s="183"/>
      <c r="Q26" s="183"/>
    </row>
    <row r="27" spans="1:24" ht="15" customHeight="1">
      <c r="A27" s="5" t="s">
        <v>107</v>
      </c>
      <c r="B27" s="5"/>
      <c r="C27" s="177">
        <v>0</v>
      </c>
      <c r="D27" s="178"/>
      <c r="E27" s="179">
        <v>0</v>
      </c>
      <c r="F27" s="187">
        <v>0</v>
      </c>
      <c r="G27" s="178"/>
      <c r="H27" s="179">
        <f t="shared" si="2"/>
        <v>0</v>
      </c>
      <c r="I27" s="178"/>
      <c r="J27" s="178">
        <v>0</v>
      </c>
      <c r="K27" s="179">
        <v>0</v>
      </c>
      <c r="L27" s="180"/>
      <c r="M27" s="179">
        <f t="shared" si="1"/>
        <v>0</v>
      </c>
      <c r="N27" s="5"/>
      <c r="O27" s="183"/>
    </row>
    <row r="28" spans="1:24" ht="15" customHeight="1">
      <c r="A28" s="5" t="s">
        <v>108</v>
      </c>
      <c r="B28" s="5"/>
      <c r="C28" s="177">
        <v>0</v>
      </c>
      <c r="D28" s="178"/>
      <c r="E28" s="179">
        <v>0</v>
      </c>
      <c r="F28" s="187">
        <v>0</v>
      </c>
      <c r="G28" s="178"/>
      <c r="H28" s="179">
        <f t="shared" si="2"/>
        <v>0</v>
      </c>
      <c r="I28" s="178"/>
      <c r="J28" s="178">
        <v>0</v>
      </c>
      <c r="K28" s="179">
        <v>0</v>
      </c>
      <c r="L28" s="180"/>
      <c r="M28" s="179">
        <f t="shared" si="1"/>
        <v>0</v>
      </c>
      <c r="N28" s="5"/>
      <c r="O28" s="183"/>
    </row>
    <row r="29" spans="1:24" ht="15" customHeight="1">
      <c r="A29" s="5" t="s">
        <v>109</v>
      </c>
      <c r="B29" s="5"/>
      <c r="C29" s="177">
        <v>0</v>
      </c>
      <c r="D29" s="178"/>
      <c r="E29" s="179">
        <v>0</v>
      </c>
      <c r="F29" s="187">
        <v>0</v>
      </c>
      <c r="G29" s="178"/>
      <c r="H29" s="179">
        <f t="shared" si="2"/>
        <v>0</v>
      </c>
      <c r="I29" s="178"/>
      <c r="J29" s="178">
        <v>0</v>
      </c>
      <c r="K29" s="179">
        <v>0</v>
      </c>
      <c r="L29" s="180"/>
      <c r="M29" s="179">
        <f t="shared" si="1"/>
        <v>0</v>
      </c>
      <c r="N29" s="5"/>
      <c r="O29" s="183"/>
    </row>
    <row r="30" spans="1:24" ht="15" customHeight="1">
      <c r="A30" s="5" t="s">
        <v>110</v>
      </c>
      <c r="B30" s="5"/>
      <c r="C30" s="177">
        <v>0</v>
      </c>
      <c r="D30" s="178"/>
      <c r="E30" s="179">
        <v>0</v>
      </c>
      <c r="F30" s="187">
        <v>0</v>
      </c>
      <c r="G30" s="178"/>
      <c r="H30" s="179">
        <f t="shared" si="2"/>
        <v>0</v>
      </c>
      <c r="I30" s="178"/>
      <c r="J30" s="178">
        <v>0</v>
      </c>
      <c r="K30" s="179">
        <v>0</v>
      </c>
      <c r="L30" s="180"/>
      <c r="M30" s="179">
        <f t="shared" si="1"/>
        <v>0</v>
      </c>
      <c r="N30" s="5"/>
      <c r="O30" s="185"/>
    </row>
    <row r="31" spans="1:24" ht="15" customHeight="1">
      <c r="A31" s="5" t="s">
        <v>111</v>
      </c>
      <c r="B31" s="5"/>
      <c r="C31" s="177">
        <v>0</v>
      </c>
      <c r="D31" s="178"/>
      <c r="E31" s="179">
        <v>0</v>
      </c>
      <c r="F31" s="187">
        <v>0</v>
      </c>
      <c r="G31" s="178"/>
      <c r="H31" s="179">
        <f t="shared" si="2"/>
        <v>0</v>
      </c>
      <c r="I31" s="178"/>
      <c r="J31" s="178">
        <v>0</v>
      </c>
      <c r="K31" s="179">
        <v>0</v>
      </c>
      <c r="L31" s="180"/>
      <c r="M31" s="179">
        <f t="shared" si="1"/>
        <v>0</v>
      </c>
      <c r="N31" s="5"/>
      <c r="O31" s="185"/>
    </row>
    <row r="32" spans="1:24" ht="15" customHeight="1">
      <c r="A32" s="5" t="s">
        <v>112</v>
      </c>
      <c r="B32" s="5"/>
      <c r="C32" s="177">
        <v>0</v>
      </c>
      <c r="D32" s="178"/>
      <c r="E32" s="179">
        <v>0</v>
      </c>
      <c r="F32" s="187">
        <v>0</v>
      </c>
      <c r="G32" s="178"/>
      <c r="H32" s="179">
        <f t="shared" si="2"/>
        <v>0</v>
      </c>
      <c r="I32" s="178"/>
      <c r="J32" s="178">
        <v>0</v>
      </c>
      <c r="K32" s="179">
        <v>0</v>
      </c>
      <c r="L32" s="180"/>
      <c r="M32" s="179">
        <f t="shared" si="1"/>
        <v>0</v>
      </c>
      <c r="N32" s="5"/>
      <c r="O32" s="185"/>
    </row>
    <row r="33" spans="1:16" ht="15" customHeight="1">
      <c r="A33" s="5" t="s">
        <v>113</v>
      </c>
      <c r="B33" s="5"/>
      <c r="C33" s="177">
        <v>200000</v>
      </c>
      <c r="D33" s="178"/>
      <c r="E33" s="179">
        <v>0</v>
      </c>
      <c r="F33" s="187"/>
      <c r="G33" s="178"/>
      <c r="H33" s="179">
        <f t="shared" si="2"/>
        <v>200000</v>
      </c>
      <c r="I33" s="178"/>
      <c r="J33" s="275">
        <v>46933.75</v>
      </c>
      <c r="K33" s="276">
        <v>120884.11</v>
      </c>
      <c r="L33" s="180"/>
      <c r="M33" s="179">
        <f t="shared" si="1"/>
        <v>32182.14</v>
      </c>
      <c r="N33" s="5"/>
      <c r="O33" s="185"/>
    </row>
    <row r="34" spans="1:16" ht="15" customHeight="1">
      <c r="A34" s="5" t="s">
        <v>114</v>
      </c>
      <c r="B34" s="5"/>
      <c r="C34" s="177">
        <v>0</v>
      </c>
      <c r="D34" s="178"/>
      <c r="E34" s="179">
        <v>0</v>
      </c>
      <c r="F34" s="187">
        <v>0</v>
      </c>
      <c r="G34" s="178"/>
      <c r="H34" s="179">
        <f t="shared" si="2"/>
        <v>0</v>
      </c>
      <c r="I34" s="178"/>
      <c r="J34" s="178">
        <v>0</v>
      </c>
      <c r="K34" s="179">
        <v>0</v>
      </c>
      <c r="L34" s="180"/>
      <c r="M34" s="179">
        <f t="shared" si="1"/>
        <v>0</v>
      </c>
      <c r="N34" s="5"/>
      <c r="O34" s="183"/>
    </row>
    <row r="35" spans="1:16" ht="15" customHeight="1">
      <c r="A35" s="5" t="s">
        <v>115</v>
      </c>
      <c r="B35" s="5"/>
      <c r="C35" s="177">
        <v>0</v>
      </c>
      <c r="D35" s="178"/>
      <c r="E35" s="179">
        <v>0</v>
      </c>
      <c r="F35" s="187">
        <v>0</v>
      </c>
      <c r="G35" s="178"/>
      <c r="H35" s="179">
        <f t="shared" si="2"/>
        <v>0</v>
      </c>
      <c r="I35" s="178"/>
      <c r="J35" s="178">
        <v>0</v>
      </c>
      <c r="K35" s="179">
        <v>0</v>
      </c>
      <c r="L35" s="180"/>
      <c r="M35" s="179">
        <f t="shared" si="1"/>
        <v>0</v>
      </c>
      <c r="N35" s="5"/>
      <c r="O35" s="183"/>
    </row>
    <row r="36" spans="1:16" ht="15" customHeight="1">
      <c r="A36" s="5" t="s">
        <v>116</v>
      </c>
      <c r="B36" s="5"/>
      <c r="C36" s="177">
        <v>0</v>
      </c>
      <c r="D36" s="178"/>
      <c r="E36" s="179">
        <v>0</v>
      </c>
      <c r="F36" s="187">
        <v>0</v>
      </c>
      <c r="G36" s="178"/>
      <c r="H36" s="179">
        <f t="shared" si="2"/>
        <v>0</v>
      </c>
      <c r="I36" s="178"/>
      <c r="J36" s="178">
        <v>0</v>
      </c>
      <c r="K36" s="179">
        <v>0</v>
      </c>
      <c r="L36" s="180"/>
      <c r="M36" s="179">
        <f t="shared" ref="M36:M41" si="3">H36-J36-K36</f>
        <v>0</v>
      </c>
      <c r="N36" s="5"/>
      <c r="O36" s="183"/>
      <c r="P36" s="179"/>
    </row>
    <row r="37" spans="1:16" ht="15" customHeight="1">
      <c r="A37" s="5" t="s">
        <v>117</v>
      </c>
      <c r="B37" s="5"/>
      <c r="C37" s="177">
        <v>0</v>
      </c>
      <c r="D37" s="178"/>
      <c r="E37" s="179">
        <v>0</v>
      </c>
      <c r="F37" s="187">
        <v>0</v>
      </c>
      <c r="G37" s="178"/>
      <c r="H37" s="179">
        <f t="shared" si="2"/>
        <v>0</v>
      </c>
      <c r="I37" s="178"/>
      <c r="J37" s="178">
        <v>0</v>
      </c>
      <c r="K37" s="179">
        <v>0</v>
      </c>
      <c r="L37" s="180"/>
      <c r="M37" s="179">
        <f t="shared" si="3"/>
        <v>0</v>
      </c>
      <c r="N37" s="5"/>
      <c r="O37" s="183"/>
    </row>
    <row r="38" spans="1:16" ht="15" customHeight="1">
      <c r="A38" s="5" t="s">
        <v>118</v>
      </c>
      <c r="B38" s="5"/>
      <c r="C38" s="177">
        <v>0</v>
      </c>
      <c r="D38" s="178"/>
      <c r="E38" s="179">
        <v>0</v>
      </c>
      <c r="F38" s="187">
        <v>0</v>
      </c>
      <c r="G38" s="178"/>
      <c r="H38" s="179">
        <f t="shared" si="2"/>
        <v>0</v>
      </c>
      <c r="I38" s="178"/>
      <c r="J38" s="178">
        <v>0</v>
      </c>
      <c r="K38" s="179">
        <v>0</v>
      </c>
      <c r="L38" s="180"/>
      <c r="M38" s="179">
        <f t="shared" si="3"/>
        <v>0</v>
      </c>
      <c r="N38" s="5"/>
      <c r="O38" s="183"/>
    </row>
    <row r="39" spans="1:16" ht="15" customHeight="1">
      <c r="A39" s="5" t="s">
        <v>119</v>
      </c>
      <c r="B39" s="5"/>
      <c r="C39" s="177">
        <v>0</v>
      </c>
      <c r="D39" s="178"/>
      <c r="E39" s="179">
        <v>0</v>
      </c>
      <c r="F39" s="187">
        <v>0</v>
      </c>
      <c r="G39" s="178"/>
      <c r="H39" s="179">
        <f t="shared" ref="H39" si="4">+C39+E39+F39</f>
        <v>0</v>
      </c>
      <c r="I39" s="178"/>
      <c r="J39" s="178">
        <v>0</v>
      </c>
      <c r="K39" s="179">
        <v>0</v>
      </c>
      <c r="L39" s="180"/>
      <c r="M39" s="179">
        <f t="shared" ref="M39" si="5">H39-J39-K39</f>
        <v>0</v>
      </c>
      <c r="N39" s="5"/>
      <c r="O39" s="183"/>
    </row>
    <row r="40" spans="1:16" ht="15" customHeight="1">
      <c r="A40" s="5" t="s">
        <v>120</v>
      </c>
      <c r="B40" s="5"/>
      <c r="C40" s="177">
        <v>0</v>
      </c>
      <c r="D40" s="178"/>
      <c r="E40" s="179">
        <v>0</v>
      </c>
      <c r="F40" s="187">
        <v>0</v>
      </c>
      <c r="G40" s="178"/>
      <c r="H40" s="179">
        <f t="shared" ref="H40:H41" si="6">+C40+E40+F40</f>
        <v>0</v>
      </c>
      <c r="I40" s="178"/>
      <c r="J40" s="178">
        <v>0</v>
      </c>
      <c r="K40" s="179">
        <v>0</v>
      </c>
      <c r="L40" s="180"/>
      <c r="M40" s="179">
        <f t="shared" si="3"/>
        <v>0</v>
      </c>
      <c r="N40" s="5"/>
      <c r="O40" s="183"/>
    </row>
    <row r="41" spans="1:16" ht="15" customHeight="1">
      <c r="A41" s="5" t="s">
        <v>121</v>
      </c>
      <c r="B41" s="5"/>
      <c r="C41" s="177">
        <v>0</v>
      </c>
      <c r="D41" s="178"/>
      <c r="E41" s="179">
        <v>0</v>
      </c>
      <c r="F41" s="187">
        <v>0</v>
      </c>
      <c r="G41" s="178"/>
      <c r="H41" s="179">
        <f t="shared" si="6"/>
        <v>0</v>
      </c>
      <c r="I41" s="178"/>
      <c r="J41" s="178">
        <v>0</v>
      </c>
      <c r="K41" s="179">
        <v>0</v>
      </c>
      <c r="L41" s="180"/>
      <c r="M41" s="179">
        <f t="shared" si="3"/>
        <v>0</v>
      </c>
      <c r="N41" s="5"/>
      <c r="O41" s="183"/>
    </row>
    <row r="42" spans="1:16" ht="15" customHeight="1">
      <c r="A42" s="44" t="s">
        <v>90</v>
      </c>
      <c r="B42" s="5"/>
      <c r="C42" s="181">
        <f>SUM(C15:C41)</f>
        <v>224200</v>
      </c>
      <c r="D42" s="178"/>
      <c r="E42" s="181">
        <f>SUM(E15:E38)</f>
        <v>0</v>
      </c>
      <c r="F42" s="181">
        <f>SUM(F15:F41)</f>
        <v>0</v>
      </c>
      <c r="G42" s="178"/>
      <c r="H42" s="181">
        <f>SUM(H15:H41)</f>
        <v>224200</v>
      </c>
      <c r="I42" s="178"/>
      <c r="J42" s="181">
        <f>SUM(J15:J41)</f>
        <v>46933.75</v>
      </c>
      <c r="K42" s="182">
        <f>SUM(K15:K41)</f>
        <v>120884.11</v>
      </c>
      <c r="L42" s="178"/>
      <c r="M42" s="181">
        <f>SUM(M15:M41)</f>
        <v>56382.14</v>
      </c>
      <c r="N42" s="5"/>
      <c r="O42" s="183"/>
    </row>
    <row r="43" spans="1:16" ht="15" customHeight="1">
      <c r="A43" s="44" t="s">
        <v>91</v>
      </c>
      <c r="B43" s="5"/>
      <c r="C43" s="181">
        <f>C13-C42</f>
        <v>-66492.700000000012</v>
      </c>
      <c r="D43" s="178"/>
      <c r="E43" s="178"/>
      <c r="F43" s="178"/>
      <c r="G43" s="178"/>
      <c r="H43" s="181">
        <f>H13-H42</f>
        <v>-24199.700000000012</v>
      </c>
      <c r="I43" s="178"/>
      <c r="J43" s="178"/>
      <c r="K43" s="178"/>
      <c r="L43" s="178"/>
      <c r="M43" s="178"/>
      <c r="N43" s="5"/>
      <c r="O43" s="183"/>
    </row>
    <row r="44" spans="1:16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189"/>
      <c r="L44" s="5"/>
      <c r="M44" s="5"/>
      <c r="N44" s="5"/>
      <c r="O44" s="183"/>
    </row>
    <row r="45" spans="1:16" ht="15" customHeight="1">
      <c r="K45" s="94"/>
      <c r="O45" s="183"/>
    </row>
    <row r="46" spans="1:16" ht="15" customHeight="1">
      <c r="O46" s="183"/>
    </row>
    <row r="47" spans="1:16" ht="15" customHeight="1">
      <c r="J47" s="94"/>
      <c r="O47" s="183"/>
    </row>
    <row r="48" spans="1:16" ht="15.75">
      <c r="O48" s="183"/>
    </row>
    <row r="49" spans="15:15" ht="15.75">
      <c r="O49" s="183"/>
    </row>
    <row r="50" spans="15:15" ht="15.75">
      <c r="O50" s="183"/>
    </row>
    <row r="51" spans="15:15" ht="15.75">
      <c r="O51" s="183"/>
    </row>
    <row r="52" spans="15:15" ht="15.75">
      <c r="O52" s="183"/>
    </row>
    <row r="53" spans="15:15" ht="15.75">
      <c r="O53" s="183"/>
    </row>
    <row r="54" spans="15:15" ht="15.75">
      <c r="O54" s="183"/>
    </row>
    <row r="55" spans="15:15" ht="15.75">
      <c r="O55" s="183"/>
    </row>
    <row r="56" spans="15:15" ht="15.75">
      <c r="O56" s="183"/>
    </row>
    <row r="57" spans="15:15" ht="15.75">
      <c r="O57" s="183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CD8D-A300-48C0-8131-8D161CD0176B}">
  <sheetPr>
    <tabColor rgb="FFFF0000"/>
  </sheetPr>
  <dimension ref="A1:N15"/>
  <sheetViews>
    <sheetView workbookViewId="0">
      <selection activeCell="A2" sqref="A2"/>
    </sheetView>
  </sheetViews>
  <sheetFormatPr defaultRowHeight="15"/>
  <cols>
    <col min="1" max="1" width="32.5703125" bestFit="1" customWidth="1"/>
    <col min="2" max="2" width="1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bestFit="1" customWidth="1"/>
    <col min="8" max="8" width="1.7109375" customWidth="1"/>
    <col min="9" max="9" width="14" customWidth="1"/>
    <col min="10" max="10" width="1.7109375" customWidth="1"/>
    <col min="11" max="11" width="10.140625" customWidth="1"/>
  </cols>
  <sheetData>
    <row r="1" spans="1:14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4">
      <c r="A2" s="278" t="s">
        <v>122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4">
      <c r="A3" s="278" t="s">
        <v>77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4" ht="1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52.5" thickBot="1">
      <c r="A6" s="218" t="s">
        <v>3</v>
      </c>
      <c r="B6" s="219"/>
      <c r="C6" s="220" t="s">
        <v>7</v>
      </c>
      <c r="D6" s="221"/>
      <c r="E6" s="220" t="s">
        <v>8</v>
      </c>
      <c r="F6" s="221"/>
      <c r="G6" s="220" t="s">
        <v>9</v>
      </c>
      <c r="H6" s="221"/>
      <c r="I6" s="46" t="s">
        <v>123</v>
      </c>
      <c r="J6" s="46"/>
      <c r="K6" s="220" t="s">
        <v>80</v>
      </c>
      <c r="L6" s="222"/>
    </row>
    <row r="7" spans="1:14">
      <c r="A7" s="222" t="s">
        <v>25</v>
      </c>
      <c r="B7" s="222"/>
      <c r="C7" s="223">
        <f>Referendums!E35</f>
        <v>20340.5</v>
      </c>
      <c r="D7" s="224"/>
      <c r="E7" s="223">
        <v>0</v>
      </c>
      <c r="F7" s="224"/>
      <c r="G7" s="225">
        <f>+C7+E7</f>
        <v>20340.5</v>
      </c>
      <c r="H7" s="224"/>
      <c r="I7" s="226"/>
      <c r="J7" s="227"/>
      <c r="K7" s="225">
        <f>G7-I7</f>
        <v>20340.5</v>
      </c>
      <c r="L7" s="222"/>
    </row>
    <row r="8" spans="1:14">
      <c r="A8" s="222" t="s">
        <v>28</v>
      </c>
      <c r="B8" s="222"/>
      <c r="C8" s="223">
        <f>Referendums!E39</f>
        <v>17969</v>
      </c>
      <c r="D8" s="224"/>
      <c r="E8" s="223">
        <v>0</v>
      </c>
      <c r="F8" s="224"/>
      <c r="G8" s="225">
        <f>+C8+E8</f>
        <v>17969</v>
      </c>
      <c r="H8" s="224"/>
      <c r="I8" s="226"/>
      <c r="J8" s="227"/>
      <c r="K8" s="225">
        <f>G8-I8</f>
        <v>17969</v>
      </c>
      <c r="L8" s="222"/>
      <c r="N8" s="4"/>
    </row>
    <row r="9" spans="1:14">
      <c r="A9" s="228" t="s">
        <v>32</v>
      </c>
      <c r="B9" s="222"/>
      <c r="C9" s="229">
        <f>SUM(C7:C8)</f>
        <v>38309.5</v>
      </c>
      <c r="D9" s="224"/>
      <c r="E9" s="229">
        <f>SUM(E7:E8)</f>
        <v>0</v>
      </c>
      <c r="F9" s="224"/>
      <c r="G9" s="230">
        <f>SUM(G7:G8)</f>
        <v>38309.5</v>
      </c>
      <c r="H9" s="224"/>
      <c r="I9" s="226"/>
      <c r="J9" s="227"/>
      <c r="K9" s="230">
        <f>SUM(K7:K8)</f>
        <v>38309.5</v>
      </c>
      <c r="L9" s="222"/>
    </row>
    <row r="10" spans="1:14">
      <c r="A10" s="222"/>
      <c r="B10" s="222"/>
      <c r="C10" s="223"/>
      <c r="D10" s="224"/>
      <c r="E10" s="223"/>
      <c r="F10" s="224"/>
      <c r="G10" s="225"/>
      <c r="H10" s="224"/>
      <c r="I10" s="225"/>
      <c r="J10" s="227"/>
      <c r="K10" s="225"/>
      <c r="L10" s="222"/>
    </row>
    <row r="11" spans="1:14">
      <c r="A11" s="5" t="s">
        <v>40</v>
      </c>
      <c r="B11" s="222"/>
      <c r="C11" s="223">
        <v>5900</v>
      </c>
      <c r="D11" s="224"/>
      <c r="E11" s="223">
        <v>0</v>
      </c>
      <c r="F11" s="224"/>
      <c r="G11" s="225">
        <f>C11-E11</f>
        <v>5900</v>
      </c>
      <c r="H11" s="224"/>
      <c r="I11" s="225">
        <v>0</v>
      </c>
      <c r="J11" s="227"/>
      <c r="K11" s="225">
        <f>G11-I11</f>
        <v>5900</v>
      </c>
      <c r="L11" s="222"/>
    </row>
    <row r="12" spans="1:14">
      <c r="A12" s="5" t="s">
        <v>124</v>
      </c>
      <c r="B12" s="222"/>
      <c r="C12" s="223">
        <v>0</v>
      </c>
      <c r="D12" s="224"/>
      <c r="E12" s="223">
        <v>0</v>
      </c>
      <c r="F12" s="224"/>
      <c r="G12" s="225">
        <f>+C12+E12</f>
        <v>0</v>
      </c>
      <c r="H12" s="224"/>
      <c r="I12" s="225">
        <v>0</v>
      </c>
      <c r="J12" s="227"/>
      <c r="K12" s="225">
        <f>G12-I12</f>
        <v>0</v>
      </c>
      <c r="L12" s="222"/>
    </row>
    <row r="13" spans="1:14">
      <c r="A13" s="44" t="s">
        <v>90</v>
      </c>
      <c r="B13" s="222"/>
      <c r="C13" s="229">
        <f>SUM(C11:C12)</f>
        <v>5900</v>
      </c>
      <c r="D13" s="229"/>
      <c r="E13" s="229">
        <f>SUM(E11:E12)</f>
        <v>0</v>
      </c>
      <c r="F13" s="224"/>
      <c r="G13" s="229">
        <f>SUM(G11:G12)</f>
        <v>5900</v>
      </c>
      <c r="H13" s="224"/>
      <c r="I13" s="229">
        <f>SUM(I11:I12)</f>
        <v>0</v>
      </c>
      <c r="J13" s="224"/>
      <c r="K13" s="229">
        <f>SUM(K11:K12)</f>
        <v>5900</v>
      </c>
      <c r="L13" s="222"/>
    </row>
    <row r="14" spans="1:14">
      <c r="A14" s="44" t="s">
        <v>91</v>
      </c>
      <c r="B14" s="222"/>
      <c r="C14" s="229">
        <f>C9-C13</f>
        <v>32409.5</v>
      </c>
      <c r="D14" s="229"/>
      <c r="E14" s="224"/>
      <c r="F14" s="224"/>
      <c r="G14" s="229">
        <f>G9-G13</f>
        <v>32409.5</v>
      </c>
      <c r="H14" s="224"/>
      <c r="I14" s="224"/>
      <c r="J14" s="224"/>
      <c r="K14" s="224"/>
      <c r="L14" s="222"/>
    </row>
    <row r="15" spans="1:14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B2B75-9DEF-4BAB-B27E-612F7356E3D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A617-0A09-4AD2-B639-C6E97234C631}">
  <sheetPr>
    <tabColor rgb="FFFFC000"/>
  </sheetPr>
  <dimension ref="A1:O17"/>
  <sheetViews>
    <sheetView workbookViewId="0">
      <selection activeCell="G11" sqref="G11"/>
    </sheetView>
  </sheetViews>
  <sheetFormatPr defaultRowHeight="15"/>
  <cols>
    <col min="1" max="1" width="35.42578125" bestFit="1" customWidth="1"/>
    <col min="2" max="2" width="2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customWidth="1"/>
    <col min="8" max="8" width="1.7109375" customWidth="1"/>
    <col min="9" max="9" width="16.42578125" hidden="1" customWidth="1"/>
    <col min="10" max="10" width="1.7109375" hidden="1" customWidth="1"/>
    <col min="11" max="11" width="14" customWidth="1"/>
    <col min="12" max="12" width="1.7109375" customWidth="1"/>
    <col min="13" max="13" width="10.140625" customWidth="1"/>
    <col min="14" max="14" width="19.28515625" bestFit="1" customWidth="1"/>
  </cols>
  <sheetData>
    <row r="1" spans="1:1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5">
      <c r="A2" s="278" t="s">
        <v>125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5">
      <c r="A3" s="278" t="s">
        <v>126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5" ht="12.7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52.5" thickBot="1">
      <c r="A6" s="218" t="s">
        <v>3</v>
      </c>
      <c r="B6" s="219"/>
      <c r="C6" s="220" t="s">
        <v>7</v>
      </c>
      <c r="D6" s="221"/>
      <c r="E6" s="220" t="s">
        <v>8</v>
      </c>
      <c r="F6" s="221"/>
      <c r="G6" s="220" t="s">
        <v>9</v>
      </c>
      <c r="H6" s="221"/>
      <c r="I6" s="220" t="s">
        <v>127</v>
      </c>
      <c r="J6" s="221"/>
      <c r="K6" s="45" t="s">
        <v>123</v>
      </c>
      <c r="L6" s="46"/>
      <c r="M6" s="220" t="s">
        <v>80</v>
      </c>
      <c r="N6" s="222"/>
    </row>
    <row r="7" spans="1:15">
      <c r="A7" s="222" t="s">
        <v>25</v>
      </c>
      <c r="B7" s="222"/>
      <c r="C7" s="223">
        <f>Referendums!E47</f>
        <v>14726.25</v>
      </c>
      <c r="D7" s="224"/>
      <c r="E7" s="223">
        <v>0</v>
      </c>
      <c r="F7" s="224"/>
      <c r="G7" s="225">
        <f>+C7+E7</f>
        <v>14726.25</v>
      </c>
      <c r="H7" s="224"/>
      <c r="I7" s="224"/>
      <c r="J7" s="224"/>
      <c r="K7" s="231"/>
      <c r="L7" s="227"/>
      <c r="M7" s="225">
        <f>G7-K7</f>
        <v>14726.25</v>
      </c>
      <c r="N7" s="222"/>
    </row>
    <row r="8" spans="1:15">
      <c r="A8" s="222" t="s">
        <v>28</v>
      </c>
      <c r="B8" s="222"/>
      <c r="C8" s="223">
        <f>Referendums!E51</f>
        <v>13276.15</v>
      </c>
      <c r="D8" s="224"/>
      <c r="E8" s="223">
        <v>0</v>
      </c>
      <c r="F8" s="224"/>
      <c r="G8" s="225">
        <f>+C8+E8</f>
        <v>13276.15</v>
      </c>
      <c r="H8" s="224"/>
      <c r="I8" s="224"/>
      <c r="J8" s="224"/>
      <c r="K8" s="231"/>
      <c r="L8" s="227"/>
      <c r="M8" s="225">
        <f>G8-K8</f>
        <v>13276.15</v>
      </c>
      <c r="N8" s="222"/>
      <c r="O8" s="4"/>
    </row>
    <row r="9" spans="1:15">
      <c r="A9" s="228" t="s">
        <v>32</v>
      </c>
      <c r="B9" s="222"/>
      <c r="C9" s="229">
        <f>SUM(C7:C8)</f>
        <v>28002.400000000001</v>
      </c>
      <c r="D9" s="224"/>
      <c r="E9" s="229">
        <f>SUM(E7:E8)</f>
        <v>0</v>
      </c>
      <c r="F9" s="224"/>
      <c r="G9" s="230">
        <f>SUM(G7:G8)</f>
        <v>28002.400000000001</v>
      </c>
      <c r="H9" s="224"/>
      <c r="I9" s="229"/>
      <c r="J9" s="224"/>
      <c r="K9" s="226"/>
      <c r="L9" s="227"/>
      <c r="M9" s="230">
        <f>SUM(M7:M8)</f>
        <v>28002.400000000001</v>
      </c>
      <c r="N9" s="222"/>
    </row>
    <row r="10" spans="1:15">
      <c r="A10" s="222"/>
      <c r="B10" s="222"/>
      <c r="C10" s="223"/>
      <c r="D10" s="224"/>
      <c r="E10" s="223"/>
      <c r="F10" s="224"/>
      <c r="G10" s="225"/>
      <c r="H10" s="224"/>
      <c r="I10" s="224"/>
      <c r="J10" s="224"/>
      <c r="K10" s="225"/>
      <c r="L10" s="227"/>
      <c r="M10" s="225"/>
      <c r="N10" s="222"/>
    </row>
    <row r="11" spans="1:15">
      <c r="A11" s="5" t="s">
        <v>40</v>
      </c>
      <c r="B11" s="222"/>
      <c r="C11" s="223">
        <v>4300</v>
      </c>
      <c r="D11" s="224"/>
      <c r="E11" s="223">
        <v>0</v>
      </c>
      <c r="F11" s="224"/>
      <c r="G11" s="225">
        <f t="shared" ref="G11" si="0">C11+E11</f>
        <v>4300</v>
      </c>
      <c r="H11" s="224"/>
      <c r="I11" s="224"/>
      <c r="J11" s="224"/>
      <c r="K11" s="225">
        <v>0</v>
      </c>
      <c r="L11" s="227"/>
      <c r="M11" s="225">
        <f t="shared" ref="M11" si="1">G11-K11</f>
        <v>4300</v>
      </c>
      <c r="N11" s="222"/>
      <c r="O11" s="225"/>
    </row>
    <row r="12" spans="1:15">
      <c r="A12" s="5" t="s">
        <v>128</v>
      </c>
      <c r="B12" s="222"/>
      <c r="C12" s="223">
        <v>0</v>
      </c>
      <c r="D12" s="224"/>
      <c r="E12" s="223">
        <v>0</v>
      </c>
      <c r="F12" s="224"/>
      <c r="G12" s="225">
        <f t="shared" ref="G12" si="2">+C12+E12</f>
        <v>0</v>
      </c>
      <c r="H12" s="224"/>
      <c r="I12" s="224"/>
      <c r="J12" s="224"/>
      <c r="K12" s="225">
        <v>0</v>
      </c>
      <c r="L12" s="227"/>
      <c r="M12" s="225">
        <f t="shared" ref="M12" si="3">+G12-K12</f>
        <v>0</v>
      </c>
      <c r="N12" s="222"/>
      <c r="O12" s="225"/>
    </row>
    <row r="13" spans="1:15">
      <c r="A13" s="5" t="s">
        <v>129</v>
      </c>
      <c r="B13" s="222"/>
      <c r="C13" s="223">
        <v>0</v>
      </c>
      <c r="D13" s="224"/>
      <c r="E13" s="223">
        <v>0</v>
      </c>
      <c r="F13" s="224"/>
      <c r="G13" s="225">
        <f t="shared" ref="G13" si="4">+C13+E13</f>
        <v>0</v>
      </c>
      <c r="H13" s="224"/>
      <c r="I13" s="224"/>
      <c r="J13" s="224"/>
      <c r="K13" s="225">
        <v>0</v>
      </c>
      <c r="L13" s="227"/>
      <c r="M13" s="225">
        <f t="shared" ref="M13" si="5">+G13-K13</f>
        <v>0</v>
      </c>
      <c r="N13" s="222"/>
      <c r="O13" s="225"/>
    </row>
    <row r="14" spans="1:15">
      <c r="A14" s="44" t="s">
        <v>90</v>
      </c>
      <c r="B14" s="222"/>
      <c r="C14" s="229">
        <f>SUM(C11:C11)</f>
        <v>4300</v>
      </c>
      <c r="D14" s="224"/>
      <c r="E14" s="229">
        <f>SUM(E11:E13)</f>
        <v>0</v>
      </c>
      <c r="F14" s="224"/>
      <c r="G14" s="229">
        <f>SUM(G11:G13)</f>
        <v>4300</v>
      </c>
      <c r="H14" s="224"/>
      <c r="I14" s="229">
        <f>SUM(I11:I11)</f>
        <v>0</v>
      </c>
      <c r="J14" s="224"/>
      <c r="K14" s="229">
        <f>SUM(K11:K13)</f>
        <v>0</v>
      </c>
      <c r="L14" s="224"/>
      <c r="M14" s="229">
        <f>SUM(M11:M11)</f>
        <v>4300</v>
      </c>
      <c r="N14" s="222"/>
    </row>
    <row r="15" spans="1:15">
      <c r="A15" s="44" t="s">
        <v>91</v>
      </c>
      <c r="B15" s="222"/>
      <c r="C15" s="229">
        <f>C9-C14</f>
        <v>23702.400000000001</v>
      </c>
      <c r="D15" s="224"/>
      <c r="E15" s="224"/>
      <c r="F15" s="224"/>
      <c r="G15" s="229">
        <f>G9-G14</f>
        <v>23702.400000000001</v>
      </c>
      <c r="H15" s="224"/>
      <c r="I15" s="224"/>
      <c r="J15" s="224"/>
      <c r="K15" s="224"/>
      <c r="L15" s="224"/>
      <c r="M15" s="224"/>
      <c r="N15" s="222"/>
    </row>
    <row r="16" spans="1:15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32"/>
      <c r="L16" s="222"/>
      <c r="M16" s="222"/>
      <c r="N16" s="222"/>
    </row>
    <row r="17" spans="11:11">
      <c r="K17" s="4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E3BF-83AD-470F-B2CB-EF3D8DF634D4}">
  <sheetPr>
    <tabColor rgb="FFFFC000"/>
  </sheetPr>
  <dimension ref="A1:O23"/>
  <sheetViews>
    <sheetView workbookViewId="0">
      <selection activeCell="G13" sqref="G13"/>
    </sheetView>
  </sheetViews>
  <sheetFormatPr defaultRowHeight="15"/>
  <cols>
    <col min="1" max="1" width="32.5703125" bestFit="1" customWidth="1"/>
    <col min="2" max="2" width="1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bestFit="1" customWidth="1"/>
    <col min="8" max="8" width="1.7109375" customWidth="1"/>
    <col min="9" max="9" width="15.28515625" hidden="1" customWidth="1"/>
    <col min="10" max="10" width="14" customWidth="1"/>
    <col min="11" max="11" width="1.7109375" customWidth="1"/>
    <col min="12" max="12" width="10.140625" customWidth="1"/>
  </cols>
  <sheetData>
    <row r="1" spans="1:1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5">
      <c r="A2" s="278" t="s">
        <v>130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5">
      <c r="A3" s="278" t="s">
        <v>77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</row>
    <row r="4" spans="1:15" ht="13.1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</row>
    <row r="5" spans="1:15" ht="13.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27" thickBot="1">
      <c r="A7" s="218" t="s">
        <v>3</v>
      </c>
      <c r="B7" s="219"/>
      <c r="C7" s="220" t="s">
        <v>7</v>
      </c>
      <c r="D7" s="221"/>
      <c r="E7" s="220" t="s">
        <v>8</v>
      </c>
      <c r="F7" s="221"/>
      <c r="G7" s="220" t="s">
        <v>9</v>
      </c>
      <c r="H7" s="221"/>
      <c r="I7" s="45" t="s">
        <v>78</v>
      </c>
      <c r="J7" s="45" t="s">
        <v>131</v>
      </c>
      <c r="K7" s="46"/>
      <c r="L7" s="220" t="s">
        <v>80</v>
      </c>
      <c r="M7" s="222"/>
    </row>
    <row r="8" spans="1:15">
      <c r="A8" s="222" t="s">
        <v>25</v>
      </c>
      <c r="B8" s="222"/>
      <c r="C8" s="223">
        <f>Referendums!E59</f>
        <v>12204.3</v>
      </c>
      <c r="D8" s="224"/>
      <c r="E8" s="223">
        <v>0</v>
      </c>
      <c r="F8" s="224"/>
      <c r="G8" s="225">
        <f>+C8+E8</f>
        <v>12204.3</v>
      </c>
      <c r="H8" s="224"/>
      <c r="I8" s="224"/>
      <c r="J8" s="231"/>
      <c r="K8" s="227"/>
      <c r="L8" s="225">
        <f>G8-I8-J8</f>
        <v>12204.3</v>
      </c>
      <c r="M8" s="222"/>
    </row>
    <row r="9" spans="1:15">
      <c r="A9" s="222" t="s">
        <v>28</v>
      </c>
      <c r="B9" s="222"/>
      <c r="C9" s="223">
        <f>Referendums!E63</f>
        <v>10781.4</v>
      </c>
      <c r="D9" s="224"/>
      <c r="E9" s="223">
        <v>0</v>
      </c>
      <c r="F9" s="224"/>
      <c r="G9" s="225">
        <f>+C9+E9</f>
        <v>10781.4</v>
      </c>
      <c r="H9" s="224"/>
      <c r="I9" s="224"/>
      <c r="J9" s="231"/>
      <c r="K9" s="227"/>
      <c r="L9" s="225">
        <f t="shared" ref="L9:L10" si="0">G9-I9-J9</f>
        <v>10781.4</v>
      </c>
      <c r="M9" s="222"/>
      <c r="O9" s="4"/>
    </row>
    <row r="10" spans="1:15">
      <c r="A10" s="222" t="s">
        <v>132</v>
      </c>
      <c r="B10" s="222"/>
      <c r="C10" s="223">
        <v>0</v>
      </c>
      <c r="D10" s="224"/>
      <c r="E10" s="223"/>
      <c r="F10" s="224"/>
      <c r="G10" s="225">
        <f>C10+E10</f>
        <v>0</v>
      </c>
      <c r="H10" s="224"/>
      <c r="I10" s="224"/>
      <c r="J10" s="231"/>
      <c r="K10" s="227"/>
      <c r="L10" s="225">
        <f t="shared" si="0"/>
        <v>0</v>
      </c>
      <c r="M10" s="222"/>
    </row>
    <row r="11" spans="1:15">
      <c r="A11" s="228" t="s">
        <v>32</v>
      </c>
      <c r="B11" s="222"/>
      <c r="C11" s="229">
        <f>SUM(C8:C10)</f>
        <v>22985.699999999997</v>
      </c>
      <c r="D11" s="224"/>
      <c r="E11" s="229">
        <f>SUM(E8:E9)</f>
        <v>0</v>
      </c>
      <c r="F11" s="224"/>
      <c r="G11" s="230">
        <f>SUM(G8:G10)</f>
        <v>22985.699999999997</v>
      </c>
      <c r="H11" s="224"/>
      <c r="I11" s="230">
        <f>SUM(I8:I10)</f>
        <v>0</v>
      </c>
      <c r="J11" s="226"/>
      <c r="K11" s="227"/>
      <c r="L11" s="230">
        <f>SUM(L8:L10)</f>
        <v>22985.699999999997</v>
      </c>
      <c r="M11" s="222"/>
    </row>
    <row r="12" spans="1:15">
      <c r="A12" s="222"/>
      <c r="B12" s="222"/>
      <c r="C12" s="223"/>
      <c r="D12" s="224"/>
      <c r="E12" s="223"/>
      <c r="F12" s="224"/>
      <c r="G12" s="225"/>
      <c r="H12" s="224"/>
      <c r="I12" s="224"/>
      <c r="J12" s="225"/>
      <c r="K12" s="227"/>
      <c r="L12" s="225"/>
      <c r="M12" s="222"/>
    </row>
    <row r="13" spans="1:15">
      <c r="A13" s="5" t="s">
        <v>40</v>
      </c>
      <c r="B13" s="222"/>
      <c r="C13" s="223">
        <v>3500</v>
      </c>
      <c r="D13" s="224"/>
      <c r="E13" s="223">
        <v>0</v>
      </c>
      <c r="F13" s="224"/>
      <c r="G13" s="225">
        <f>+C13+E13</f>
        <v>3500</v>
      </c>
      <c r="H13" s="224"/>
      <c r="I13" s="224"/>
      <c r="J13" s="225">
        <v>0</v>
      </c>
      <c r="K13" s="227"/>
      <c r="L13" s="225">
        <f t="shared" ref="L13:L19" si="1">G13-I13-J13</f>
        <v>3500</v>
      </c>
      <c r="M13" s="222"/>
    </row>
    <row r="14" spans="1:15">
      <c r="A14" s="5" t="s">
        <v>124</v>
      </c>
      <c r="B14" s="222"/>
      <c r="C14" s="223">
        <v>0</v>
      </c>
      <c r="D14" s="224"/>
      <c r="E14" s="223">
        <v>0</v>
      </c>
      <c r="F14" s="224"/>
      <c r="G14" s="225">
        <f>+C14+E14</f>
        <v>0</v>
      </c>
      <c r="H14" s="224"/>
      <c r="I14" s="224"/>
      <c r="J14" s="225">
        <v>0</v>
      </c>
      <c r="K14" s="227"/>
      <c r="L14" s="225">
        <f t="shared" si="1"/>
        <v>0</v>
      </c>
      <c r="M14" s="222"/>
    </row>
    <row r="15" spans="1:15" hidden="1">
      <c r="A15" s="5" t="s">
        <v>133</v>
      </c>
      <c r="B15" s="222"/>
      <c r="C15" s="223">
        <v>0</v>
      </c>
      <c r="D15" s="224"/>
      <c r="E15" s="223">
        <v>0</v>
      </c>
      <c r="F15" s="224"/>
      <c r="G15" s="225">
        <f>+C15+E15</f>
        <v>0</v>
      </c>
      <c r="H15" s="224"/>
      <c r="I15" s="224"/>
      <c r="J15" s="225">
        <v>0</v>
      </c>
      <c r="K15" s="227"/>
      <c r="L15" s="225">
        <f t="shared" si="1"/>
        <v>0</v>
      </c>
      <c r="M15" s="222"/>
    </row>
    <row r="16" spans="1:15" hidden="1">
      <c r="A16" s="5" t="s">
        <v>134</v>
      </c>
      <c r="B16" s="222"/>
      <c r="C16" s="223">
        <v>0</v>
      </c>
      <c r="D16" s="224"/>
      <c r="E16" s="223">
        <v>0</v>
      </c>
      <c r="F16" s="224"/>
      <c r="G16" s="225">
        <f>+C16+E16</f>
        <v>0</v>
      </c>
      <c r="H16" s="224"/>
      <c r="I16" s="224">
        <v>0</v>
      </c>
      <c r="J16" s="225">
        <v>0</v>
      </c>
      <c r="K16" s="227"/>
      <c r="L16" s="225">
        <f t="shared" si="1"/>
        <v>0</v>
      </c>
      <c r="M16" s="222"/>
    </row>
    <row r="17" spans="1:13" hidden="1">
      <c r="A17" s="5" t="s">
        <v>135</v>
      </c>
      <c r="B17" s="222"/>
      <c r="C17" s="223">
        <v>0</v>
      </c>
      <c r="D17" s="224"/>
      <c r="E17" s="223">
        <v>0</v>
      </c>
      <c r="F17" s="224"/>
      <c r="G17" s="225">
        <f t="shared" ref="G17:G19" si="2">+C17+E17</f>
        <v>0</v>
      </c>
      <c r="H17" s="224"/>
      <c r="I17" s="224"/>
      <c r="J17" s="225">
        <v>0</v>
      </c>
      <c r="K17" s="227"/>
      <c r="L17" s="225">
        <f t="shared" si="1"/>
        <v>0</v>
      </c>
      <c r="M17" s="222"/>
    </row>
    <row r="18" spans="1:13" hidden="1">
      <c r="A18" s="5" t="s">
        <v>136</v>
      </c>
      <c r="B18" s="222"/>
      <c r="C18" s="223">
        <v>0</v>
      </c>
      <c r="D18" s="224"/>
      <c r="E18" s="223">
        <v>0</v>
      </c>
      <c r="F18" s="224"/>
      <c r="G18" s="225">
        <f t="shared" si="2"/>
        <v>0</v>
      </c>
      <c r="H18" s="224"/>
      <c r="I18" s="224"/>
      <c r="J18" s="225">
        <v>0</v>
      </c>
      <c r="K18" s="227"/>
      <c r="L18" s="225">
        <f t="shared" si="1"/>
        <v>0</v>
      </c>
      <c r="M18" s="222"/>
    </row>
    <row r="19" spans="1:13" hidden="1">
      <c r="A19" s="5" t="s">
        <v>137</v>
      </c>
      <c r="B19" s="222"/>
      <c r="C19" s="223">
        <v>0</v>
      </c>
      <c r="D19" s="224"/>
      <c r="E19" s="223">
        <v>0</v>
      </c>
      <c r="F19" s="224"/>
      <c r="G19" s="225">
        <f t="shared" si="2"/>
        <v>0</v>
      </c>
      <c r="H19" s="224"/>
      <c r="I19" s="224">
        <v>0</v>
      </c>
      <c r="J19" s="225">
        <v>0</v>
      </c>
      <c r="K19" s="227"/>
      <c r="L19" s="225">
        <f t="shared" si="1"/>
        <v>0</v>
      </c>
      <c r="M19" s="222"/>
    </row>
    <row r="20" spans="1:13">
      <c r="A20" s="44" t="s">
        <v>90</v>
      </c>
      <c r="B20" s="222"/>
      <c r="C20" s="229">
        <f>SUM(C13:C13)</f>
        <v>3500</v>
      </c>
      <c r="D20" s="224"/>
      <c r="E20" s="229">
        <f>SUM(E13:E19)</f>
        <v>0</v>
      </c>
      <c r="F20" s="224"/>
      <c r="G20" s="229">
        <f>SUM(G13:G19)</f>
        <v>3500</v>
      </c>
      <c r="H20" s="224"/>
      <c r="I20" s="229">
        <f>SUM(I13:I19)</f>
        <v>0</v>
      </c>
      <c r="J20" s="229">
        <f>SUM(J13:J19)</f>
        <v>0</v>
      </c>
      <c r="K20" s="224"/>
      <c r="L20" s="229">
        <f>SUM(L13:L19)</f>
        <v>3500</v>
      </c>
      <c r="M20" s="222"/>
    </row>
    <row r="21" spans="1:13">
      <c r="A21" s="44" t="s">
        <v>91</v>
      </c>
      <c r="B21" s="222"/>
      <c r="C21" s="229">
        <f>C11-C20</f>
        <v>19485.699999999997</v>
      </c>
      <c r="D21" s="224"/>
      <c r="E21" s="224"/>
      <c r="F21" s="224"/>
      <c r="G21" s="229">
        <f>G11-G20</f>
        <v>19485.699999999997</v>
      </c>
      <c r="H21" s="224"/>
      <c r="I21" s="224"/>
      <c r="J21" s="224"/>
      <c r="K21" s="224"/>
      <c r="L21" s="224"/>
      <c r="M21" s="222"/>
    </row>
    <row r="22" spans="1:13">
      <c r="A22" s="222"/>
      <c r="B22" s="222"/>
      <c r="C22" s="222"/>
      <c r="D22" s="222"/>
      <c r="E22" s="222"/>
      <c r="F22" s="222"/>
      <c r="G22" s="222"/>
      <c r="H22" s="222"/>
      <c r="I22" s="222"/>
      <c r="J22" s="232"/>
      <c r="K22" s="222"/>
      <c r="L22" s="222"/>
      <c r="M22" s="222"/>
    </row>
    <row r="23" spans="1:13">
      <c r="G23" s="4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2B32-E048-486E-AAB9-42D23D5537BD}">
  <sheetPr>
    <tabColor rgb="FFFFC000"/>
  </sheetPr>
  <dimension ref="A1:P29"/>
  <sheetViews>
    <sheetView workbookViewId="0">
      <selection activeCell="K23" sqref="K23"/>
    </sheetView>
  </sheetViews>
  <sheetFormatPr defaultRowHeight="15"/>
  <cols>
    <col min="1" max="1" width="32.5703125" bestFit="1" customWidth="1"/>
    <col min="2" max="2" width="1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bestFit="1" customWidth="1"/>
    <col min="8" max="8" width="1.7109375" customWidth="1"/>
    <col min="9" max="9" width="15.28515625" hidden="1" customWidth="1"/>
    <col min="10" max="10" width="15.28515625" customWidth="1"/>
    <col min="11" max="11" width="14" customWidth="1"/>
    <col min="12" max="12" width="1.7109375" customWidth="1"/>
    <col min="13" max="13" width="10.140625" customWidth="1"/>
  </cols>
  <sheetData>
    <row r="1" spans="1:16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6">
      <c r="A2" s="278" t="s">
        <v>138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6">
      <c r="A3" s="278" t="s">
        <v>126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6" ht="1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ht="27" thickBot="1">
      <c r="A6" s="218" t="s">
        <v>3</v>
      </c>
      <c r="B6" s="219"/>
      <c r="C6" s="220" t="s">
        <v>7</v>
      </c>
      <c r="D6" s="221"/>
      <c r="E6" s="220" t="s">
        <v>8</v>
      </c>
      <c r="F6" s="221"/>
      <c r="G6" s="220" t="s">
        <v>9</v>
      </c>
      <c r="H6" s="221"/>
      <c r="I6" s="45" t="s">
        <v>78</v>
      </c>
      <c r="J6" s="45" t="s">
        <v>78</v>
      </c>
      <c r="K6" s="45" t="s">
        <v>131</v>
      </c>
      <c r="L6" s="46"/>
      <c r="M6" s="220" t="s">
        <v>80</v>
      </c>
    </row>
    <row r="7" spans="1:16">
      <c r="A7" s="222" t="s">
        <v>25</v>
      </c>
      <c r="B7" s="222"/>
      <c r="C7" s="233">
        <f>Referendums!E70</f>
        <v>16272.399999999998</v>
      </c>
      <c r="D7" s="224"/>
      <c r="E7" s="223"/>
      <c r="F7" s="224"/>
      <c r="G7" s="225">
        <f>+C7+E7</f>
        <v>16272.399999999998</v>
      </c>
      <c r="H7" s="224"/>
      <c r="I7" s="224"/>
      <c r="J7" s="226"/>
      <c r="K7" s="231"/>
      <c r="L7" s="227"/>
      <c r="M7" s="225">
        <f>G7-K7</f>
        <v>16272.399999999998</v>
      </c>
    </row>
    <row r="8" spans="1:16">
      <c r="A8" s="222" t="s">
        <v>28</v>
      </c>
      <c r="B8" s="222"/>
      <c r="C8" s="224">
        <f>Referendums!E74</f>
        <v>14375.2</v>
      </c>
      <c r="D8" s="224"/>
      <c r="E8" s="223">
        <v>0</v>
      </c>
      <c r="F8" s="224"/>
      <c r="G8" s="225">
        <f t="shared" ref="G8:G9" si="0">+C8+E8</f>
        <v>14375.2</v>
      </c>
      <c r="H8" s="224"/>
      <c r="I8" s="224"/>
      <c r="J8" s="226"/>
      <c r="K8" s="231"/>
      <c r="L8" s="227"/>
      <c r="M8" s="225">
        <f>G8-K8</f>
        <v>14375.2</v>
      </c>
      <c r="P8" s="4"/>
    </row>
    <row r="9" spans="1:16">
      <c r="A9" s="222" t="s">
        <v>95</v>
      </c>
      <c r="B9" s="222"/>
      <c r="C9" s="223">
        <v>0</v>
      </c>
      <c r="D9" s="224"/>
      <c r="E9" s="223">
        <v>25351</v>
      </c>
      <c r="F9" s="224"/>
      <c r="G9" s="225">
        <f t="shared" si="0"/>
        <v>25351</v>
      </c>
      <c r="H9" s="224"/>
      <c r="I9" s="224"/>
      <c r="J9" s="226"/>
      <c r="K9" s="231"/>
      <c r="L9" s="227"/>
      <c r="M9" s="225">
        <f>+G9+K9</f>
        <v>25351</v>
      </c>
    </row>
    <row r="10" spans="1:16">
      <c r="A10" s="228" t="s">
        <v>32</v>
      </c>
      <c r="B10" s="222"/>
      <c r="C10" s="229">
        <f>SUM(C7:C9)</f>
        <v>30647.599999999999</v>
      </c>
      <c r="D10" s="224"/>
      <c r="E10" s="229">
        <f>SUM(E7:E9)</f>
        <v>25351</v>
      </c>
      <c r="F10" s="224"/>
      <c r="G10" s="230">
        <f>SUM(G7:G9)</f>
        <v>55998.6</v>
      </c>
      <c r="H10" s="224"/>
      <c r="I10" s="230">
        <f>SUM(I7:I9)</f>
        <v>0</v>
      </c>
      <c r="J10" s="226"/>
      <c r="K10" s="226"/>
      <c r="L10" s="227"/>
      <c r="M10" s="230">
        <f>SUM(M7:M9)</f>
        <v>55998.6</v>
      </c>
    </row>
    <row r="11" spans="1:16">
      <c r="A11" s="222"/>
      <c r="B11" s="222"/>
      <c r="C11" s="223"/>
      <c r="D11" s="224"/>
      <c r="E11" s="223"/>
      <c r="F11" s="224"/>
      <c r="G11" s="225"/>
      <c r="H11" s="224"/>
      <c r="I11" s="224"/>
      <c r="J11" s="224"/>
      <c r="K11" s="225"/>
      <c r="L11" s="227"/>
      <c r="M11" s="225"/>
    </row>
    <row r="12" spans="1:16">
      <c r="A12" s="5" t="s">
        <v>40</v>
      </c>
      <c r="B12" s="222"/>
      <c r="C12" s="223">
        <v>4700</v>
      </c>
      <c r="D12" s="224"/>
      <c r="E12" s="223">
        <v>0</v>
      </c>
      <c r="F12" s="224"/>
      <c r="G12" s="225">
        <f>C12-E12</f>
        <v>4700</v>
      </c>
      <c r="H12" s="224"/>
      <c r="I12" s="224">
        <v>0</v>
      </c>
      <c r="J12" s="224">
        <v>0</v>
      </c>
      <c r="K12" s="234">
        <v>3069.96</v>
      </c>
      <c r="L12" s="227"/>
      <c r="M12" s="225">
        <f>+G12-J12-K12</f>
        <v>1630.04</v>
      </c>
    </row>
    <row r="13" spans="1:16">
      <c r="A13" s="5" t="s">
        <v>124</v>
      </c>
      <c r="B13" s="222"/>
      <c r="C13" s="223">
        <v>0</v>
      </c>
      <c r="D13" s="224"/>
      <c r="E13" s="223">
        <v>0</v>
      </c>
      <c r="F13" s="224"/>
      <c r="G13" s="225">
        <f>+C13+E13</f>
        <v>0</v>
      </c>
      <c r="H13" s="224"/>
      <c r="I13" s="224">
        <v>0</v>
      </c>
      <c r="J13" s="224">
        <v>0</v>
      </c>
      <c r="K13" s="225">
        <v>0</v>
      </c>
      <c r="L13" s="227"/>
      <c r="M13" s="225">
        <f>+G13-J13-K13</f>
        <v>0</v>
      </c>
    </row>
    <row r="14" spans="1:16">
      <c r="A14" s="5" t="s">
        <v>139</v>
      </c>
      <c r="B14" s="222"/>
      <c r="C14" s="223">
        <v>0</v>
      </c>
      <c r="D14" s="224"/>
      <c r="E14" s="223">
        <v>0</v>
      </c>
      <c r="F14" s="224"/>
      <c r="G14" s="225">
        <f>+C14+E14</f>
        <v>0</v>
      </c>
      <c r="H14" s="224"/>
      <c r="I14" s="224">
        <v>0</v>
      </c>
      <c r="J14" s="224">
        <v>0</v>
      </c>
      <c r="K14" s="225">
        <v>0</v>
      </c>
      <c r="L14" s="227"/>
      <c r="M14" s="225">
        <f t="shared" ref="M14" si="1">G14-J14-K14</f>
        <v>0</v>
      </c>
    </row>
    <row r="15" spans="1:16" hidden="1">
      <c r="A15" s="5"/>
      <c r="B15" s="222"/>
      <c r="C15" s="223">
        <v>0</v>
      </c>
      <c r="D15" s="224"/>
      <c r="E15" s="223">
        <v>0</v>
      </c>
      <c r="F15" s="224"/>
      <c r="G15" s="225">
        <f t="shared" ref="G15:G21" si="2">+C15+E15</f>
        <v>0</v>
      </c>
      <c r="H15" s="224"/>
      <c r="I15" s="224">
        <v>0</v>
      </c>
      <c r="J15" s="224"/>
      <c r="K15" s="225">
        <v>0</v>
      </c>
      <c r="L15" s="227"/>
      <c r="M15" s="225">
        <f t="shared" ref="M15:M18" si="3">G15-K15</f>
        <v>0</v>
      </c>
    </row>
    <row r="16" spans="1:16" hidden="1">
      <c r="A16" s="5" t="s">
        <v>111</v>
      </c>
      <c r="B16" s="222"/>
      <c r="C16" s="223">
        <v>0</v>
      </c>
      <c r="D16" s="224"/>
      <c r="E16" s="223">
        <v>0</v>
      </c>
      <c r="F16" s="224"/>
      <c r="G16" s="225">
        <f t="shared" si="2"/>
        <v>0</v>
      </c>
      <c r="H16" s="224"/>
      <c r="I16" s="224"/>
      <c r="J16" s="224"/>
      <c r="K16" s="225">
        <v>0</v>
      </c>
      <c r="L16" s="227"/>
      <c r="M16" s="225">
        <f t="shared" si="3"/>
        <v>0</v>
      </c>
    </row>
    <row r="17" spans="1:13" hidden="1">
      <c r="A17" s="5" t="s">
        <v>140</v>
      </c>
      <c r="B17" s="222"/>
      <c r="C17" s="223"/>
      <c r="D17" s="224"/>
      <c r="E17" s="223">
        <v>0</v>
      </c>
      <c r="F17" s="224"/>
      <c r="G17" s="225">
        <f t="shared" si="2"/>
        <v>0</v>
      </c>
      <c r="H17" s="224"/>
      <c r="I17" s="224"/>
      <c r="J17" s="224"/>
      <c r="K17" s="225">
        <v>0</v>
      </c>
      <c r="L17" s="227"/>
      <c r="M17" s="225">
        <f t="shared" si="3"/>
        <v>0</v>
      </c>
    </row>
    <row r="18" spans="1:13" hidden="1">
      <c r="A18" s="5" t="s">
        <v>141</v>
      </c>
      <c r="B18" s="222"/>
      <c r="C18" s="223">
        <v>0</v>
      </c>
      <c r="D18" s="224"/>
      <c r="E18" s="223">
        <v>0</v>
      </c>
      <c r="F18" s="224"/>
      <c r="G18" s="225">
        <f>+C18+E18</f>
        <v>0</v>
      </c>
      <c r="H18" s="224"/>
      <c r="I18" s="224">
        <v>0</v>
      </c>
      <c r="J18" s="224"/>
      <c r="K18" s="225">
        <v>0</v>
      </c>
      <c r="L18" s="227"/>
      <c r="M18" s="225">
        <f t="shared" si="3"/>
        <v>0</v>
      </c>
    </row>
    <row r="19" spans="1:13" hidden="1">
      <c r="A19" s="5" t="s">
        <v>142</v>
      </c>
      <c r="B19" s="222"/>
      <c r="C19" s="223">
        <v>0</v>
      </c>
      <c r="D19" s="224"/>
      <c r="E19" s="223">
        <v>0</v>
      </c>
      <c r="F19" s="224"/>
      <c r="G19" s="225">
        <f t="shared" si="2"/>
        <v>0</v>
      </c>
      <c r="H19" s="224"/>
      <c r="I19" s="224">
        <v>0</v>
      </c>
      <c r="J19" s="224"/>
      <c r="K19" s="225">
        <v>0</v>
      </c>
      <c r="L19" s="227"/>
      <c r="M19" s="225">
        <f>+G19-K19</f>
        <v>0</v>
      </c>
    </row>
    <row r="20" spans="1:13" hidden="1">
      <c r="A20" s="5" t="s">
        <v>116</v>
      </c>
      <c r="B20" s="222"/>
      <c r="C20" s="223">
        <v>0</v>
      </c>
      <c r="D20" s="224"/>
      <c r="E20" s="223">
        <v>0</v>
      </c>
      <c r="F20" s="224"/>
      <c r="G20" s="225">
        <f t="shared" si="2"/>
        <v>0</v>
      </c>
      <c r="H20" s="224"/>
      <c r="I20" s="225">
        <v>0</v>
      </c>
      <c r="J20" s="225"/>
      <c r="K20" s="225">
        <v>0</v>
      </c>
      <c r="L20" s="227"/>
      <c r="M20" s="225">
        <f>+G20-K20</f>
        <v>0</v>
      </c>
    </row>
    <row r="21" spans="1:13" hidden="1">
      <c r="A21" s="5" t="s">
        <v>137</v>
      </c>
      <c r="B21" s="222"/>
      <c r="C21" s="223">
        <v>0</v>
      </c>
      <c r="D21" s="224"/>
      <c r="E21" s="223">
        <v>0</v>
      </c>
      <c r="F21" s="224"/>
      <c r="G21" s="225">
        <f t="shared" si="2"/>
        <v>0</v>
      </c>
      <c r="H21" s="224"/>
      <c r="I21" s="227">
        <v>0</v>
      </c>
      <c r="J21" s="227"/>
      <c r="K21" s="225">
        <v>0</v>
      </c>
      <c r="L21" s="227"/>
      <c r="M21" s="225">
        <f>+G21-K21</f>
        <v>0</v>
      </c>
    </row>
    <row r="22" spans="1:13">
      <c r="A22" s="44" t="s">
        <v>90</v>
      </c>
      <c r="B22" s="222"/>
      <c r="C22" s="229">
        <f>SUM(C12:C21)</f>
        <v>4700</v>
      </c>
      <c r="D22" s="224"/>
      <c r="E22" s="229">
        <f>SUM(E12:E21)</f>
        <v>0</v>
      </c>
      <c r="F22" s="224"/>
      <c r="G22" s="229">
        <f>SUM(G12:G21)</f>
        <v>4700</v>
      </c>
      <c r="H22" s="224"/>
      <c r="I22" s="235">
        <f>SUM(I12:I21)</f>
        <v>0</v>
      </c>
      <c r="J22" s="235">
        <f>SUM(J12:J14)</f>
        <v>0</v>
      </c>
      <c r="K22" s="229">
        <f>SUM(K12:K21)</f>
        <v>3069.96</v>
      </c>
      <c r="L22" s="224"/>
      <c r="M22" s="229">
        <f>SUM(M12:M21)</f>
        <v>1630.04</v>
      </c>
    </row>
    <row r="23" spans="1:13">
      <c r="A23" s="44" t="s">
        <v>91</v>
      </c>
      <c r="B23" s="222"/>
      <c r="C23" s="229">
        <f>C10-C22</f>
        <v>25947.599999999999</v>
      </c>
      <c r="D23" s="224"/>
      <c r="E23" s="224"/>
      <c r="F23" s="224"/>
      <c r="G23" s="229">
        <f>G10-G22</f>
        <v>51298.6</v>
      </c>
      <c r="H23" s="224"/>
      <c r="K23" s="224"/>
      <c r="L23" s="224"/>
      <c r="M23" s="224"/>
    </row>
    <row r="24" spans="1:13">
      <c r="A24" s="222"/>
      <c r="B24" s="222"/>
      <c r="C24" s="222"/>
      <c r="D24" s="222"/>
      <c r="E24" s="222"/>
      <c r="F24" s="222"/>
      <c r="G24" s="222"/>
      <c r="H24" s="222"/>
      <c r="K24" s="232"/>
      <c r="L24" s="222"/>
      <c r="M24" s="222"/>
    </row>
    <row r="25" spans="1:13">
      <c r="K25" s="4"/>
    </row>
    <row r="26" spans="1:13">
      <c r="G26" s="4"/>
      <c r="K26" s="236">
        <v>30367.759999999998</v>
      </c>
    </row>
    <row r="27" spans="1:13">
      <c r="K27" s="237">
        <f>+K22-K26</f>
        <v>-27297.8</v>
      </c>
    </row>
    <row r="28" spans="1:13">
      <c r="K28" s="236"/>
    </row>
    <row r="29" spans="1:13" hidden="1">
      <c r="E29">
        <f>21667-21213</f>
        <v>454</v>
      </c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0EEE-0AB3-42B9-AF9D-4D786D3B7568}">
  <sheetPr>
    <tabColor theme="6" tint="-0.249977111117893"/>
  </sheetPr>
  <dimension ref="A1:O19"/>
  <sheetViews>
    <sheetView workbookViewId="0">
      <selection activeCell="J28" sqref="J28"/>
    </sheetView>
  </sheetViews>
  <sheetFormatPr defaultRowHeight="15"/>
  <cols>
    <col min="1" max="1" width="9.7109375" bestFit="1" customWidth="1"/>
    <col min="2" max="2" width="39.28515625" customWidth="1"/>
    <col min="3" max="3" width="1.7109375" customWidth="1"/>
    <col min="4" max="4" width="10.5703125" bestFit="1" customWidth="1"/>
    <col min="5" max="5" width="1.7109375" customWidth="1"/>
    <col min="6" max="6" width="11.5703125" customWidth="1"/>
    <col min="7" max="7" width="1.7109375" customWidth="1"/>
    <col min="8" max="8" width="11.7109375" bestFit="1" customWidth="1"/>
    <col min="9" max="9" width="1.7109375" customWidth="1"/>
    <col min="10" max="10" width="14" customWidth="1"/>
    <col min="11" max="11" width="1.7109375" customWidth="1"/>
    <col min="12" max="12" width="10.140625" customWidth="1"/>
  </cols>
  <sheetData>
    <row r="1" spans="1:1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5">
      <c r="A2" s="278" t="s">
        <v>143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5">
      <c r="A3" s="278" t="s">
        <v>126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</row>
    <row r="4" spans="1:15" ht="12.75" customHeight="1">
      <c r="A4" s="278" t="str">
        <f>'Budget Committee'!A4:L4</f>
        <v>As of January 31, 2025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</row>
    <row r="5" spans="1:1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ht="52.5" thickBot="1">
      <c r="A6" t="s">
        <v>144</v>
      </c>
      <c r="B6" s="218" t="s">
        <v>3</v>
      </c>
      <c r="C6" s="219"/>
      <c r="D6" s="220" t="s">
        <v>7</v>
      </c>
      <c r="E6" s="221"/>
      <c r="F6" s="220" t="s">
        <v>8</v>
      </c>
      <c r="G6" s="221"/>
      <c r="H6" s="220" t="s">
        <v>9</v>
      </c>
      <c r="I6" s="221"/>
      <c r="J6" s="45" t="s">
        <v>123</v>
      </c>
      <c r="K6" s="46"/>
      <c r="L6" s="220" t="s">
        <v>80</v>
      </c>
      <c r="M6" s="222"/>
    </row>
    <row r="7" spans="1:15">
      <c r="B7" s="222" t="s">
        <v>25</v>
      </c>
      <c r="C7" s="222"/>
      <c r="D7" s="223">
        <f>Referendums!E81</f>
        <v>8136.1999999999989</v>
      </c>
      <c r="E7" s="224"/>
      <c r="F7" s="223">
        <v>0</v>
      </c>
      <c r="G7" s="224"/>
      <c r="H7" s="225">
        <f>+D7+F7</f>
        <v>8136.1999999999989</v>
      </c>
      <c r="I7" s="224"/>
      <c r="J7" s="231"/>
      <c r="K7" s="227"/>
      <c r="L7" s="225">
        <f>H7-J7</f>
        <v>8136.1999999999989</v>
      </c>
      <c r="M7" s="222"/>
    </row>
    <row r="8" spans="1:15">
      <c r="B8" s="222" t="s">
        <v>28</v>
      </c>
      <c r="C8" s="222"/>
      <c r="D8" s="223">
        <f>Referendums!E85</f>
        <v>7187.6</v>
      </c>
      <c r="E8" s="224"/>
      <c r="F8" s="223">
        <v>0</v>
      </c>
      <c r="G8" s="224"/>
      <c r="H8" s="225">
        <f>+D8+F8</f>
        <v>7187.6</v>
      </c>
      <c r="I8" s="224"/>
      <c r="J8" s="226"/>
      <c r="K8" s="227"/>
      <c r="L8" s="225">
        <f>H8-J8</f>
        <v>7187.6</v>
      </c>
      <c r="M8" s="222"/>
      <c r="O8" s="4"/>
    </row>
    <row r="9" spans="1:15">
      <c r="B9" s="228" t="s">
        <v>32</v>
      </c>
      <c r="C9" s="222"/>
      <c r="D9" s="229">
        <f>SUM(D7:D8)</f>
        <v>15323.8</v>
      </c>
      <c r="E9" s="224"/>
      <c r="F9" s="229">
        <f>SUM(F7:F8)</f>
        <v>0</v>
      </c>
      <c r="G9" s="224"/>
      <c r="H9" s="230">
        <f>SUM(H7:H8)</f>
        <v>15323.8</v>
      </c>
      <c r="I9" s="224"/>
      <c r="J9" s="226"/>
      <c r="K9" s="227"/>
      <c r="L9" s="230">
        <f>SUM(L7:L8)</f>
        <v>15323.8</v>
      </c>
      <c r="M9" s="222"/>
    </row>
    <row r="10" spans="1:15">
      <c r="B10" s="222"/>
      <c r="C10" s="222"/>
      <c r="D10" s="223"/>
      <c r="E10" s="224"/>
      <c r="F10" s="223"/>
      <c r="G10" s="224"/>
      <c r="H10" s="225"/>
      <c r="I10" s="224"/>
      <c r="J10" s="225"/>
      <c r="K10" s="227"/>
      <c r="L10" s="225"/>
      <c r="M10" s="222"/>
    </row>
    <row r="11" spans="1:15">
      <c r="A11" s="238"/>
      <c r="B11" s="5" t="s">
        <v>40</v>
      </c>
      <c r="C11" s="222"/>
      <c r="D11" s="223">
        <v>2300</v>
      </c>
      <c r="E11" s="224"/>
      <c r="F11" s="223">
        <v>0</v>
      </c>
      <c r="G11" s="224"/>
      <c r="H11" s="225">
        <f>D11+F11</f>
        <v>2300</v>
      </c>
      <c r="I11" s="224"/>
      <c r="J11" s="225">
        <v>0</v>
      </c>
      <c r="K11" s="227"/>
      <c r="L11" s="225">
        <f t="shared" ref="L11:L15" si="0">H11-J11</f>
        <v>2300</v>
      </c>
      <c r="M11" s="222"/>
    </row>
    <row r="12" spans="1:15">
      <c r="A12" s="238"/>
      <c r="B12" s="5"/>
      <c r="C12" s="222"/>
      <c r="D12" s="223"/>
      <c r="E12" s="224"/>
      <c r="F12" s="223"/>
      <c r="G12" s="224"/>
      <c r="H12" s="225"/>
      <c r="I12" s="224"/>
      <c r="J12" s="225"/>
      <c r="K12" s="227"/>
      <c r="L12" s="225"/>
      <c r="M12" s="222"/>
    </row>
    <row r="13" spans="1:15" hidden="1">
      <c r="A13" s="238"/>
      <c r="B13" s="222"/>
      <c r="C13" s="222"/>
      <c r="D13" s="223">
        <v>0</v>
      </c>
      <c r="E13" s="224"/>
      <c r="F13" s="223"/>
      <c r="G13" s="224"/>
      <c r="H13" s="225">
        <f t="shared" ref="H13:H14" si="1">+D13+F13</f>
        <v>0</v>
      </c>
      <c r="I13" s="224"/>
      <c r="J13" s="225">
        <v>0</v>
      </c>
      <c r="K13" s="227"/>
      <c r="L13" s="225">
        <f t="shared" si="0"/>
        <v>0</v>
      </c>
      <c r="M13" s="232"/>
    </row>
    <row r="14" spans="1:15" hidden="1">
      <c r="A14" s="238"/>
      <c r="B14" s="222"/>
      <c r="C14" s="222"/>
      <c r="D14" s="223">
        <v>0</v>
      </c>
      <c r="E14" s="224"/>
      <c r="F14" s="223"/>
      <c r="G14" s="224"/>
      <c r="H14" s="225">
        <f t="shared" si="1"/>
        <v>0</v>
      </c>
      <c r="I14" s="224"/>
      <c r="J14" s="225">
        <v>0</v>
      </c>
      <c r="K14" s="227"/>
      <c r="L14" s="225">
        <f t="shared" si="0"/>
        <v>0</v>
      </c>
      <c r="M14" s="232"/>
    </row>
    <row r="15" spans="1:15" hidden="1">
      <c r="A15" s="238"/>
      <c r="B15" s="5"/>
      <c r="C15" s="222"/>
      <c r="D15" s="223">
        <v>0</v>
      </c>
      <c r="E15" s="224"/>
      <c r="F15" s="223"/>
      <c r="G15" s="224"/>
      <c r="H15" s="225">
        <f>+D15+F15</f>
        <v>0</v>
      </c>
      <c r="I15" s="224"/>
      <c r="J15" s="225">
        <v>0</v>
      </c>
      <c r="K15" s="227"/>
      <c r="L15" s="225">
        <f t="shared" si="0"/>
        <v>0</v>
      </c>
      <c r="M15" s="232"/>
    </row>
    <row r="16" spans="1:15">
      <c r="A16" s="222"/>
      <c r="B16" s="44" t="s">
        <v>145</v>
      </c>
      <c r="C16" s="222"/>
      <c r="D16" s="229">
        <f>SUM(D13:D15)</f>
        <v>0</v>
      </c>
      <c r="E16" s="224"/>
      <c r="F16" s="229">
        <f>SUM(F13:F15)</f>
        <v>0</v>
      </c>
      <c r="G16" s="224"/>
      <c r="H16" s="229">
        <f>SUM(H13:H15)</f>
        <v>0</v>
      </c>
      <c r="I16" s="224"/>
      <c r="J16" s="229">
        <f>SUM(J12:J15)</f>
        <v>0</v>
      </c>
      <c r="K16" s="227"/>
      <c r="L16" s="229">
        <f>SUM(L12:L15)</f>
        <v>0</v>
      </c>
      <c r="M16" s="232"/>
      <c r="N16" s="4"/>
    </row>
    <row r="17" spans="2:13">
      <c r="B17" s="44" t="s">
        <v>90</v>
      </c>
      <c r="C17" s="222"/>
      <c r="D17" s="229">
        <f>D11+D16</f>
        <v>2300</v>
      </c>
      <c r="E17" s="224"/>
      <c r="F17" s="229">
        <f>F11+F16</f>
        <v>0</v>
      </c>
      <c r="G17" s="224"/>
      <c r="H17" s="229">
        <f>H11+H16</f>
        <v>2300</v>
      </c>
      <c r="I17" s="224"/>
      <c r="J17" s="229">
        <f>+J16+J11</f>
        <v>0</v>
      </c>
      <c r="K17" s="224"/>
      <c r="L17" s="229">
        <f>L11+L16</f>
        <v>2300</v>
      </c>
      <c r="M17" s="232"/>
    </row>
    <row r="18" spans="2:13">
      <c r="B18" s="44" t="s">
        <v>91</v>
      </c>
      <c r="C18" s="222"/>
      <c r="D18" s="229">
        <f>D9-D17</f>
        <v>13023.8</v>
      </c>
      <c r="E18" s="224"/>
      <c r="F18" s="239"/>
      <c r="G18" s="224"/>
      <c r="H18" s="229">
        <f>H9-H17</f>
        <v>13023.8</v>
      </c>
      <c r="I18" s="224"/>
      <c r="J18" s="239"/>
      <c r="K18" s="224"/>
      <c r="L18" s="239"/>
      <c r="M18" s="232"/>
    </row>
    <row r="19" spans="2:13">
      <c r="B19" s="222"/>
      <c r="C19" s="222"/>
      <c r="D19" s="222"/>
      <c r="E19" s="222"/>
      <c r="F19" s="222"/>
      <c r="G19" s="222"/>
      <c r="H19" s="222"/>
      <c r="I19" s="222"/>
      <c r="J19" s="232"/>
      <c r="K19" s="222"/>
      <c r="L19" s="222"/>
      <c r="M19" s="222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DD55D201A6F4E9110D1CBAFBC8A7D" ma:contentTypeVersion="15" ma:contentTypeDescription="Create a new document." ma:contentTypeScope="" ma:versionID="693f40cffc502fb2a5864af54492d5a2">
  <xsd:schema xmlns:xsd="http://www.w3.org/2001/XMLSchema" xmlns:xs="http://www.w3.org/2001/XMLSchema" xmlns:p="http://schemas.microsoft.com/office/2006/metadata/properties" xmlns:ns2="7a43aca7-434e-402a-a753-829e22f67fe1" xmlns:ns3="61a34f2d-e7e4-41e6-a269-40b67c6aa6d3" targetNamespace="http://schemas.microsoft.com/office/2006/metadata/properties" ma:root="true" ma:fieldsID="39ea6016e5d370a60a8d4329915d7a77" ns2:_="" ns3:_="">
    <xsd:import namespace="7a43aca7-434e-402a-a753-829e22f67fe1"/>
    <xsd:import namespace="61a34f2d-e7e4-41e6-a269-40b67c6aa6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3aca7-434e-402a-a753-829e22f6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597c87-0a2f-4bcb-98aa-a355c72904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34f2d-e7e4-41e6-a269-40b67c6aa6d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3f9351-040b-48a4-851e-44abeb23ab7f}" ma:internalName="TaxCatchAll" ma:showField="CatchAllData" ma:web="61a34f2d-e7e4-41e6-a269-40b67c6aa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a34f2d-e7e4-41e6-a269-40b67c6aa6d3" xsi:nil="true"/>
    <lcf76f155ced4ddcb4097134ff3c332f xmlns="7a43aca7-434e-402a-a753-829e22f67f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45EFA-B78C-4B22-A2C7-CA7B308FE9B6}"/>
</file>

<file path=customXml/itemProps2.xml><?xml version="1.0" encoding="utf-8"?>
<ds:datastoreItem xmlns:ds="http://schemas.openxmlformats.org/officeDocument/2006/customXml" ds:itemID="{15869E73-6942-41A7-98F6-8BFFD906639F}"/>
</file>

<file path=customXml/itemProps3.xml><?xml version="1.0" encoding="utf-8"?>
<ds:datastoreItem xmlns:ds="http://schemas.openxmlformats.org/officeDocument/2006/customXml" ds:itemID="{CA27C816-7EEA-4312-87E0-8ACB0425D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York College CUNY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Delacruz</dc:creator>
  <cp:keywords/>
  <dc:description/>
  <cp:lastModifiedBy>Alejandro Lopez</cp:lastModifiedBy>
  <cp:revision/>
  <dcterms:created xsi:type="dcterms:W3CDTF">2017-07-17T17:38:54Z</dcterms:created>
  <dcterms:modified xsi:type="dcterms:W3CDTF">2025-03-04T17:24:19Z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0x01010051EDD55D201A6F4E9110D1CBAFBC8A7D</vt:lpwstr>
  </property>
  <property fmtid="{D5CDD505-2E9C-101B-9397-08002B2CF9AE}" pid="3" name="MediaServiceImageTags">
    <vt:lpwstr/>
  </property>
</Properties>
</file>