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Association FY19\"/>
    </mc:Choice>
  </mc:AlternateContent>
  <bookViews>
    <workbookView xWindow="0" yWindow="0" windowWidth="24375" windowHeight="8820"/>
  </bookViews>
  <sheets>
    <sheet name="Allocation " sheetId="9" r:id="rId1"/>
    <sheet name="Budget Committee" sheetId="3" r:id="rId2"/>
    <sheet name="Athletic Committee" sheetId="10" r:id="rId3"/>
    <sheet name="Child &amp; Family Center" sheetId="11" r:id="rId4"/>
    <sheet name="Studyaway Fund" sheetId="12" r:id="rId5"/>
    <sheet name="Game Room" sheetId="13" r:id="rId6"/>
    <sheet name="YC Radio Station" sheetId="14" r:id="rId7"/>
    <sheet name="APAF" sheetId="15" r:id="rId8"/>
    <sheet name="Student Government" sheetId="16" r:id="rId9"/>
    <sheet name="Student Clubs" sheetId="17" r:id="rId10"/>
    <sheet name="Pandora's Box" sheetId="18" r:id="rId11"/>
    <sheet name="Sheet1" sheetId="19" r:id="rId12"/>
  </sheets>
  <definedNames>
    <definedName name="_xlnm.Print_Area" localSheetId="0">'Allocation '!$A$1:$U$77</definedName>
    <definedName name="_xlnm.Print_Area" localSheetId="2">'Athletic Committee'!$A$1:$L$39</definedName>
    <definedName name="_xlnm.Print_Area" localSheetId="1">'Budget Committee'!$A$1:$K$57</definedName>
  </definedNames>
  <calcPr calcId="162913"/>
</workbook>
</file>

<file path=xl/calcChain.xml><?xml version="1.0" encoding="utf-8"?>
<calcChain xmlns="http://schemas.openxmlformats.org/spreadsheetml/2006/main">
  <c r="I52" i="3" l="1"/>
  <c r="I14" i="3"/>
  <c r="I48" i="3"/>
  <c r="I16" i="16"/>
  <c r="I22" i="16"/>
  <c r="I21" i="16"/>
  <c r="I15" i="16"/>
  <c r="I17" i="16"/>
  <c r="K11" i="16"/>
  <c r="G11" i="16"/>
  <c r="C12" i="16"/>
  <c r="F36" i="17"/>
  <c r="F100" i="17"/>
  <c r="J80" i="17"/>
  <c r="J44" i="17"/>
  <c r="J81" i="17"/>
  <c r="J110" i="17"/>
  <c r="J74" i="17"/>
  <c r="F66" i="17"/>
  <c r="F67" i="17"/>
  <c r="J64" i="17"/>
  <c r="J49" i="15"/>
  <c r="J14" i="15"/>
  <c r="J15" i="10"/>
  <c r="J26" i="10" l="1"/>
  <c r="I14" i="18" l="1"/>
  <c r="I22" i="14"/>
  <c r="I19" i="13"/>
  <c r="J31" i="10" l="1"/>
  <c r="J23" i="10"/>
  <c r="J22" i="10"/>
  <c r="J20" i="10"/>
  <c r="J17" i="10"/>
  <c r="J18" i="10"/>
  <c r="V33" i="10"/>
  <c r="V31" i="10"/>
  <c r="V28" i="10"/>
  <c r="V26" i="10"/>
  <c r="V23" i="10"/>
  <c r="V22" i="10"/>
  <c r="V20" i="10"/>
  <c r="V18" i="10"/>
  <c r="V17" i="10"/>
  <c r="V15" i="10"/>
  <c r="J79" i="17" l="1"/>
  <c r="H19" i="9"/>
  <c r="T19" i="9"/>
  <c r="L13" i="17"/>
  <c r="J13" i="17"/>
  <c r="L12" i="17"/>
  <c r="H13" i="17"/>
  <c r="F13" i="17"/>
  <c r="D13" i="17"/>
  <c r="H12" i="17"/>
  <c r="H105" i="17"/>
  <c r="L105" i="17" s="1"/>
  <c r="E10" i="3"/>
  <c r="G56" i="3"/>
  <c r="C56" i="3"/>
  <c r="H71" i="9"/>
  <c r="J70" i="9"/>
  <c r="J71" i="9" s="1"/>
  <c r="L70" i="9"/>
  <c r="L71" i="9"/>
  <c r="U70" i="9"/>
  <c r="U71" i="9" s="1"/>
  <c r="J69" i="9"/>
  <c r="L69" i="9"/>
  <c r="U69" i="9"/>
  <c r="J68" i="9"/>
  <c r="L68" i="9"/>
  <c r="U68" i="9" s="1"/>
  <c r="L19" i="9"/>
  <c r="G54" i="3"/>
  <c r="K54" i="3" s="1"/>
  <c r="G53" i="3"/>
  <c r="K53" i="3" s="1"/>
  <c r="G52" i="3"/>
  <c r="K52" i="3" l="1"/>
  <c r="I14" i="14" l="1"/>
  <c r="K21" i="14"/>
  <c r="G21" i="14"/>
  <c r="J82" i="17" l="1"/>
  <c r="I18" i="16"/>
  <c r="K55" i="3"/>
  <c r="G16" i="12"/>
  <c r="K16" i="12" s="1"/>
  <c r="I12" i="12" l="1"/>
  <c r="I24" i="12"/>
  <c r="I34" i="12" l="1"/>
  <c r="I33" i="12"/>
  <c r="I32" i="12"/>
  <c r="I31" i="12"/>
  <c r="I30" i="12"/>
  <c r="I29" i="12"/>
  <c r="I28" i="12"/>
  <c r="I27" i="12"/>
  <c r="I26" i="12"/>
  <c r="I22" i="12"/>
  <c r="A4" i="10" l="1"/>
  <c r="E12" i="11" l="1"/>
  <c r="I24" i="3" l="1"/>
  <c r="I28" i="3"/>
  <c r="I12" i="18"/>
  <c r="G35" i="12"/>
  <c r="K35" i="12" s="1"/>
  <c r="I36" i="12"/>
  <c r="E36" i="12"/>
  <c r="K19" i="12"/>
  <c r="K20" i="12"/>
  <c r="K23" i="12"/>
  <c r="K24" i="12"/>
  <c r="K27" i="12"/>
  <c r="K28" i="12"/>
  <c r="K31" i="12"/>
  <c r="K32" i="12"/>
  <c r="G17" i="12"/>
  <c r="K17" i="12" s="1"/>
  <c r="G18" i="12"/>
  <c r="K18" i="12" s="1"/>
  <c r="G19" i="12"/>
  <c r="G20" i="12"/>
  <c r="G21" i="12"/>
  <c r="K21" i="12" s="1"/>
  <c r="G22" i="12"/>
  <c r="K22" i="12" s="1"/>
  <c r="G23" i="12"/>
  <c r="G24" i="12"/>
  <c r="G25" i="12"/>
  <c r="K25" i="12" s="1"/>
  <c r="G26" i="12"/>
  <c r="K26" i="12" s="1"/>
  <c r="G27" i="12"/>
  <c r="G28" i="12"/>
  <c r="G29" i="12"/>
  <c r="K29" i="12" s="1"/>
  <c r="G30" i="12"/>
  <c r="K30" i="12" s="1"/>
  <c r="G31" i="12"/>
  <c r="G32" i="12"/>
  <c r="G33" i="12"/>
  <c r="K33" i="12" s="1"/>
  <c r="G34" i="12"/>
  <c r="K34" i="12" s="1"/>
  <c r="G36" i="12" l="1"/>
  <c r="M71" i="9" l="1"/>
  <c r="C35" i="10"/>
  <c r="H34" i="10"/>
  <c r="L34" i="10" s="1"/>
  <c r="F34" i="10"/>
  <c r="L33" i="10"/>
  <c r="H33" i="10"/>
  <c r="F33" i="10"/>
  <c r="L32" i="10"/>
  <c r="H32" i="10"/>
  <c r="H31" i="10"/>
  <c r="L31" i="10" s="1"/>
  <c r="H30" i="10"/>
  <c r="L30" i="10" s="1"/>
  <c r="E30" i="10"/>
  <c r="E29" i="10"/>
  <c r="H29" i="10" s="1"/>
  <c r="L29" i="10" s="1"/>
  <c r="H28" i="10"/>
  <c r="L28" i="10" s="1"/>
  <c r="H27" i="10"/>
  <c r="L27" i="10" s="1"/>
  <c r="H26" i="10"/>
  <c r="L26" i="10" s="1"/>
  <c r="E25" i="10"/>
  <c r="H25" i="10" s="1"/>
  <c r="L25" i="10" s="1"/>
  <c r="H24" i="10"/>
  <c r="L24" i="10" s="1"/>
  <c r="F24" i="10"/>
  <c r="L23" i="10"/>
  <c r="H23" i="10"/>
  <c r="H22" i="10"/>
  <c r="L22" i="10" s="1"/>
  <c r="F21" i="10"/>
  <c r="H21" i="10" s="1"/>
  <c r="L21" i="10" s="1"/>
  <c r="F20" i="10"/>
  <c r="F35" i="10" s="1"/>
  <c r="H19" i="10"/>
  <c r="L19" i="10" s="1"/>
  <c r="E18" i="10"/>
  <c r="H18" i="10" s="1"/>
  <c r="L18" i="10" s="1"/>
  <c r="J35" i="10"/>
  <c r="H17" i="10"/>
  <c r="L17" i="10" s="1"/>
  <c r="L16" i="10"/>
  <c r="H16" i="10"/>
  <c r="F15" i="10"/>
  <c r="E15" i="10"/>
  <c r="H15" i="10" s="1"/>
  <c r="L15" i="10" s="1"/>
  <c r="H14" i="10"/>
  <c r="J12" i="10"/>
  <c r="L11" i="10"/>
  <c r="H11" i="10"/>
  <c r="J10" i="10"/>
  <c r="F10" i="10"/>
  <c r="C10" i="10"/>
  <c r="C12" i="10" s="1"/>
  <c r="C36" i="10" s="1"/>
  <c r="L9" i="10"/>
  <c r="H9" i="10"/>
  <c r="E8" i="10"/>
  <c r="E10" i="10" s="1"/>
  <c r="E12" i="10" s="1"/>
  <c r="H7" i="10"/>
  <c r="L7" i="10" s="1"/>
  <c r="H8" i="10" l="1"/>
  <c r="H20" i="10"/>
  <c r="L20" i="10" s="1"/>
  <c r="E35" i="10"/>
  <c r="L14" i="10"/>
  <c r="L35" i="10" s="1"/>
  <c r="J67" i="9"/>
  <c r="L67" i="9"/>
  <c r="U67" i="9" s="1"/>
  <c r="J61" i="9"/>
  <c r="L61" i="9" s="1"/>
  <c r="U61" i="9" s="1"/>
  <c r="J55" i="9"/>
  <c r="L55" i="9" s="1"/>
  <c r="U55" i="9" s="1"/>
  <c r="J48" i="9"/>
  <c r="L48" i="9" s="1"/>
  <c r="U48" i="9" s="1"/>
  <c r="S19" i="9"/>
  <c r="H80" i="17"/>
  <c r="L80" i="17" s="1"/>
  <c r="H104" i="17"/>
  <c r="L104" i="17" s="1"/>
  <c r="H101" i="17"/>
  <c r="L101" i="17" s="1"/>
  <c r="H95" i="17"/>
  <c r="L95" i="17" s="1"/>
  <c r="H75" i="17"/>
  <c r="L75" i="17" s="1"/>
  <c r="H71" i="17"/>
  <c r="L71" i="17" s="1"/>
  <c r="H54" i="17"/>
  <c r="L54" i="17" s="1"/>
  <c r="H55" i="17"/>
  <c r="L55" i="17" s="1"/>
  <c r="H43" i="17"/>
  <c r="L43" i="17" s="1"/>
  <c r="H42" i="17"/>
  <c r="L42" i="17" s="1"/>
  <c r="H48" i="17"/>
  <c r="L48" i="17" s="1"/>
  <c r="H51" i="17"/>
  <c r="L51" i="17" s="1"/>
  <c r="H41" i="17"/>
  <c r="L41" i="17" s="1"/>
  <c r="H33" i="17"/>
  <c r="L33" i="17"/>
  <c r="I12" i="16"/>
  <c r="G10" i="16"/>
  <c r="E15" i="16"/>
  <c r="I25" i="3"/>
  <c r="G51" i="3"/>
  <c r="G41" i="3"/>
  <c r="K41" i="3" s="1"/>
  <c r="G34" i="3"/>
  <c r="K34" i="3" s="1"/>
  <c r="G46" i="3"/>
  <c r="K46" i="3" s="1"/>
  <c r="G50" i="3"/>
  <c r="K50" i="3" s="1"/>
  <c r="G49" i="3"/>
  <c r="K49" i="3" s="1"/>
  <c r="L66" i="9"/>
  <c r="U66" i="9" s="1"/>
  <c r="L65" i="9"/>
  <c r="U65" i="9" s="1"/>
  <c r="J66" i="9"/>
  <c r="J65" i="9"/>
  <c r="L64" i="9"/>
  <c r="U64" i="9" s="1"/>
  <c r="J64" i="9"/>
  <c r="E48" i="3"/>
  <c r="F11" i="17" s="1"/>
  <c r="L8" i="10" l="1"/>
  <c r="L10" i="10" s="1"/>
  <c r="L12" i="10" s="1"/>
  <c r="H10" i="10"/>
  <c r="H12" i="10" s="1"/>
  <c r="H36" i="10" s="1"/>
  <c r="H35" i="10"/>
  <c r="K51" i="3"/>
  <c r="K10" i="16"/>
  <c r="F71" i="9"/>
  <c r="J63" i="9"/>
  <c r="L63" i="9"/>
  <c r="U63" i="9" s="1"/>
  <c r="J31" i="9"/>
  <c r="L31" i="9" s="1"/>
  <c r="U31" i="9" s="1"/>
  <c r="I31" i="3"/>
  <c r="L55" i="15"/>
  <c r="L53" i="15"/>
  <c r="H55" i="15"/>
  <c r="H54" i="15"/>
  <c r="L54" i="15" s="1"/>
  <c r="H53" i="15"/>
  <c r="J72" i="17"/>
  <c r="D113" i="17" l="1"/>
  <c r="H64" i="17"/>
  <c r="L64" i="17" s="1"/>
  <c r="H79" i="17"/>
  <c r="L79" i="17"/>
  <c r="H78" i="17"/>
  <c r="L78" i="17" s="1"/>
  <c r="H53" i="17"/>
  <c r="L53" i="17" s="1"/>
  <c r="H47" i="17"/>
  <c r="L47" i="17" s="1"/>
  <c r="G9" i="16" l="1"/>
  <c r="I32" i="3"/>
  <c r="H22" i="17"/>
  <c r="H27" i="17"/>
  <c r="L27" i="17" s="1"/>
  <c r="H93" i="17"/>
  <c r="L93" i="17" s="1"/>
  <c r="H58" i="17"/>
  <c r="L58" i="17" s="1"/>
  <c r="H82" i="17"/>
  <c r="L82" i="17" s="1"/>
  <c r="H94" i="17"/>
  <c r="L94" i="17" s="1"/>
  <c r="H69" i="17"/>
  <c r="L69" i="17" s="1"/>
  <c r="H86" i="17"/>
  <c r="L86" i="17" s="1"/>
  <c r="H88" i="17"/>
  <c r="L88" i="17" s="1"/>
  <c r="H87" i="17"/>
  <c r="L87" i="17" s="1"/>
  <c r="G48" i="3"/>
  <c r="K48" i="3" s="1"/>
  <c r="G21" i="3"/>
  <c r="J10" i="17"/>
  <c r="H9" i="17"/>
  <c r="F113" i="17"/>
  <c r="H60" i="17"/>
  <c r="L60" i="17" s="1"/>
  <c r="H76" i="17"/>
  <c r="L76" i="17" s="1"/>
  <c r="H92" i="17"/>
  <c r="L92" i="17" s="1"/>
  <c r="H107" i="17"/>
  <c r="L107" i="17" s="1"/>
  <c r="H34" i="17"/>
  <c r="L34" i="17" s="1"/>
  <c r="H83" i="17"/>
  <c r="L83" i="17" s="1"/>
  <c r="H103" i="17"/>
  <c r="L103" i="17" s="1"/>
  <c r="H74" i="17"/>
  <c r="L74" i="17" s="1"/>
  <c r="H70" i="17"/>
  <c r="L70" i="17" s="1"/>
  <c r="H68" i="17"/>
  <c r="L68" i="17" s="1"/>
  <c r="H57" i="17"/>
  <c r="L57" i="17" s="1"/>
  <c r="H28" i="17"/>
  <c r="L28" i="17" s="1"/>
  <c r="H96" i="17"/>
  <c r="H100" i="17" l="1"/>
  <c r="L100" i="17" s="1"/>
  <c r="K21" i="3"/>
  <c r="L9" i="17"/>
  <c r="L22" i="17"/>
  <c r="G45" i="3"/>
  <c r="K45" i="3" s="1"/>
  <c r="J60" i="9"/>
  <c r="L60" i="9" s="1"/>
  <c r="U60" i="9" s="1"/>
  <c r="L62" i="9"/>
  <c r="G47" i="3"/>
  <c r="K47" i="3" s="1"/>
  <c r="E9" i="3"/>
  <c r="F8" i="17"/>
  <c r="F10" i="17" s="1"/>
  <c r="E8" i="16"/>
  <c r="F8" i="15"/>
  <c r="E8" i="14"/>
  <c r="E8" i="12"/>
  <c r="E8" i="11"/>
  <c r="E8" i="13"/>
  <c r="E12" i="16" l="1"/>
  <c r="G8" i="16"/>
  <c r="D12" i="9" l="1"/>
  <c r="E12" i="9"/>
  <c r="I15" i="12" l="1"/>
  <c r="E15" i="12"/>
  <c r="G15" i="12" s="1"/>
  <c r="K15" i="12" s="1"/>
  <c r="E14" i="14"/>
  <c r="I37" i="3" l="1"/>
  <c r="I27" i="3"/>
  <c r="I38" i="3"/>
  <c r="L96" i="17"/>
  <c r="J73" i="17"/>
  <c r="G14" i="12" l="1"/>
  <c r="K14" i="12" s="1"/>
  <c r="G13" i="12"/>
  <c r="K13" i="12" s="1"/>
  <c r="G44" i="3" l="1"/>
  <c r="K44" i="3" s="1"/>
  <c r="E24" i="3"/>
  <c r="E56" i="3" s="1"/>
  <c r="J62" i="9"/>
  <c r="J59" i="9"/>
  <c r="L59" i="9" s="1"/>
  <c r="J58" i="9"/>
  <c r="L58" i="9" s="1"/>
  <c r="J113" i="17" l="1"/>
  <c r="J56" i="9" l="1"/>
  <c r="L56" i="9" s="1"/>
  <c r="U56" i="9" s="1"/>
  <c r="G42" i="3"/>
  <c r="K42" i="3" s="1"/>
  <c r="H24" i="15"/>
  <c r="L24" i="15" s="1"/>
  <c r="H48" i="15"/>
  <c r="L48" i="15" s="1"/>
  <c r="H91" i="17"/>
  <c r="L91" i="17" s="1"/>
  <c r="H89" i="17"/>
  <c r="L89" i="17" s="1"/>
  <c r="G40" i="3" l="1"/>
  <c r="K40" i="3" s="1"/>
  <c r="J54" i="9"/>
  <c r="L54" i="9" s="1"/>
  <c r="U54" i="9" s="1"/>
  <c r="G39" i="3"/>
  <c r="K39" i="3" s="1"/>
  <c r="J53" i="9"/>
  <c r="L53" i="9" s="1"/>
  <c r="U53" i="9" s="1"/>
  <c r="H84" i="17" l="1"/>
  <c r="L84" i="17" s="1"/>
  <c r="H109" i="17"/>
  <c r="L109" i="17" s="1"/>
  <c r="H98" i="17"/>
  <c r="L98" i="17" s="1"/>
  <c r="H72" i="17"/>
  <c r="L72" i="17" s="1"/>
  <c r="H61" i="17"/>
  <c r="L61" i="17" s="1"/>
  <c r="G38" i="3"/>
  <c r="K38" i="3" s="1"/>
  <c r="J52" i="9"/>
  <c r="L52" i="9" s="1"/>
  <c r="U52" i="9" s="1"/>
  <c r="F6" i="9" l="1"/>
  <c r="L10" i="9"/>
  <c r="G8" i="12" l="1"/>
  <c r="J170" i="17" l="1"/>
  <c r="G12" i="12" l="1"/>
  <c r="K12" i="12" s="1"/>
  <c r="K36" i="12" s="1"/>
  <c r="G37" i="3" l="1"/>
  <c r="K37" i="3" s="1"/>
  <c r="G36" i="3"/>
  <c r="K36" i="3" s="1"/>
  <c r="E12" i="18"/>
  <c r="G43" i="3" l="1"/>
  <c r="K43" i="3" l="1"/>
  <c r="H34" i="9"/>
  <c r="G33" i="3"/>
  <c r="K33" i="3" s="1"/>
  <c r="G13" i="18"/>
  <c r="K13" i="18" s="1"/>
  <c r="G14" i="18"/>
  <c r="G12" i="18"/>
  <c r="K12" i="18" s="1"/>
  <c r="E20" i="13"/>
  <c r="A4" i="18" l="1"/>
  <c r="I20" i="18"/>
  <c r="I26" i="3" s="1"/>
  <c r="I56" i="3" s="1"/>
  <c r="C20" i="18"/>
  <c r="G19" i="18"/>
  <c r="K19" i="18" s="1"/>
  <c r="E18" i="18"/>
  <c r="G18" i="18" s="1"/>
  <c r="K18" i="18" s="1"/>
  <c r="G17" i="18"/>
  <c r="K17" i="18" s="1"/>
  <c r="G16" i="18"/>
  <c r="K16" i="18" s="1"/>
  <c r="G15" i="18"/>
  <c r="K15" i="18" s="1"/>
  <c r="K14" i="18"/>
  <c r="G10" i="18"/>
  <c r="I8" i="18"/>
  <c r="E8" i="18"/>
  <c r="C8" i="18"/>
  <c r="G7" i="18"/>
  <c r="K7" i="18" s="1"/>
  <c r="K8" i="18" s="1"/>
  <c r="A4" i="17"/>
  <c r="L174" i="17"/>
  <c r="J174" i="17"/>
  <c r="F174" i="17"/>
  <c r="H173" i="17"/>
  <c r="J169" i="17"/>
  <c r="J171" i="17" s="1"/>
  <c r="F169" i="17"/>
  <c r="F170" i="17" s="1"/>
  <c r="F171" i="17" s="1"/>
  <c r="D169" i="17"/>
  <c r="H168" i="17"/>
  <c r="L168" i="17" s="1"/>
  <c r="H167" i="17"/>
  <c r="L167" i="17" s="1"/>
  <c r="H166" i="17"/>
  <c r="L166" i="17" s="1"/>
  <c r="H165" i="17"/>
  <c r="L165" i="17" s="1"/>
  <c r="H164" i="17"/>
  <c r="L164" i="17" s="1"/>
  <c r="H163" i="17"/>
  <c r="L163" i="17" s="1"/>
  <c r="H162" i="17"/>
  <c r="L162" i="17" s="1"/>
  <c r="H161" i="17"/>
  <c r="L161" i="17" s="1"/>
  <c r="H160" i="17"/>
  <c r="L160" i="17" s="1"/>
  <c r="H159" i="17"/>
  <c r="L159" i="17" s="1"/>
  <c r="H158" i="17"/>
  <c r="L158" i="17" s="1"/>
  <c r="H157" i="17"/>
  <c r="L157" i="17" s="1"/>
  <c r="H156" i="17"/>
  <c r="L156" i="17" s="1"/>
  <c r="H155" i="17"/>
  <c r="L155" i="17" s="1"/>
  <c r="H154" i="17"/>
  <c r="L154" i="17" s="1"/>
  <c r="H153" i="17"/>
  <c r="L153" i="17" s="1"/>
  <c r="H152" i="17"/>
  <c r="L152" i="17" s="1"/>
  <c r="H151" i="17"/>
  <c r="L151" i="17" s="1"/>
  <c r="H150" i="17"/>
  <c r="L150" i="17" s="1"/>
  <c r="H149" i="17"/>
  <c r="L149" i="17" s="1"/>
  <c r="H148" i="17"/>
  <c r="L148" i="17" s="1"/>
  <c r="H147" i="17"/>
  <c r="L147" i="17" s="1"/>
  <c r="H146" i="17"/>
  <c r="L146" i="17" s="1"/>
  <c r="H145" i="17"/>
  <c r="L145" i="17" s="1"/>
  <c r="H144" i="17"/>
  <c r="L144" i="17" s="1"/>
  <c r="H143" i="17"/>
  <c r="L143" i="17" s="1"/>
  <c r="H142" i="17"/>
  <c r="L142" i="17" s="1"/>
  <c r="H141" i="17"/>
  <c r="L141" i="17" s="1"/>
  <c r="H140" i="17"/>
  <c r="L140" i="17" s="1"/>
  <c r="H139" i="17"/>
  <c r="L139" i="17" s="1"/>
  <c r="H138" i="17"/>
  <c r="L138" i="17" s="1"/>
  <c r="H137" i="17"/>
  <c r="L137" i="17" s="1"/>
  <c r="H136" i="17"/>
  <c r="L136" i="17" s="1"/>
  <c r="H135" i="17"/>
  <c r="L135" i="17" s="1"/>
  <c r="H134" i="17"/>
  <c r="L134" i="17" s="1"/>
  <c r="H133" i="17"/>
  <c r="L133" i="17" s="1"/>
  <c r="H132" i="17"/>
  <c r="L132" i="17" s="1"/>
  <c r="H131" i="17"/>
  <c r="L131" i="17" s="1"/>
  <c r="H130" i="17"/>
  <c r="L130" i="17" s="1"/>
  <c r="H129" i="17"/>
  <c r="L129" i="17" s="1"/>
  <c r="H128" i="17"/>
  <c r="L128" i="17" s="1"/>
  <c r="H127" i="17"/>
  <c r="L127" i="17" s="1"/>
  <c r="H126" i="17"/>
  <c r="L126" i="17" s="1"/>
  <c r="H125" i="17"/>
  <c r="L125" i="17" s="1"/>
  <c r="H124" i="17"/>
  <c r="L124" i="17" s="1"/>
  <c r="H123" i="17"/>
  <c r="L123" i="17" s="1"/>
  <c r="H122" i="17"/>
  <c r="L122" i="17" s="1"/>
  <c r="H121" i="17"/>
  <c r="L121" i="17" s="1"/>
  <c r="H120" i="17"/>
  <c r="L120" i="17" s="1"/>
  <c r="H119" i="17"/>
  <c r="L119" i="17" s="1"/>
  <c r="H118" i="17"/>
  <c r="L118" i="17" s="1"/>
  <c r="H117" i="17"/>
  <c r="L117" i="17" s="1"/>
  <c r="H116" i="17"/>
  <c r="L116" i="17" s="1"/>
  <c r="H115" i="17"/>
  <c r="D170" i="17"/>
  <c r="D171" i="17" s="1"/>
  <c r="H102" i="17"/>
  <c r="L102" i="17" s="1"/>
  <c r="H110" i="17"/>
  <c r="L110" i="17" s="1"/>
  <c r="H63" i="17"/>
  <c r="L63" i="17" s="1"/>
  <c r="H108" i="17"/>
  <c r="L108" i="17" s="1"/>
  <c r="H106" i="17"/>
  <c r="L106" i="17" s="1"/>
  <c r="H99" i="17"/>
  <c r="L99" i="17" s="1"/>
  <c r="H90" i="17"/>
  <c r="L90" i="17" s="1"/>
  <c r="H85" i="17"/>
  <c r="L85" i="17" s="1"/>
  <c r="H81" i="17"/>
  <c r="L81" i="17" s="1"/>
  <c r="H52" i="17"/>
  <c r="L52" i="17" s="1"/>
  <c r="H77" i="17"/>
  <c r="L77" i="17" s="1"/>
  <c r="H50" i="17"/>
  <c r="L50" i="17" s="1"/>
  <c r="H49" i="17"/>
  <c r="L49" i="17" s="1"/>
  <c r="H73" i="17"/>
  <c r="L73" i="17" s="1"/>
  <c r="H46" i="17"/>
  <c r="L46" i="17" s="1"/>
  <c r="H45" i="17"/>
  <c r="L45" i="17" s="1"/>
  <c r="H67" i="17"/>
  <c r="L67" i="17" s="1"/>
  <c r="H66" i="17"/>
  <c r="L66" i="17" s="1"/>
  <c r="H65" i="17"/>
  <c r="L65" i="17" s="1"/>
  <c r="H40" i="17"/>
  <c r="L40" i="17" s="1"/>
  <c r="H39" i="17"/>
  <c r="L39" i="17" s="1"/>
  <c r="H38" i="17"/>
  <c r="L38" i="17" s="1"/>
  <c r="H62" i="17"/>
  <c r="L62" i="17" s="1"/>
  <c r="H35" i="17"/>
  <c r="L35" i="17" s="1"/>
  <c r="H59" i="17"/>
  <c r="L59" i="17" s="1"/>
  <c r="H56" i="17"/>
  <c r="L56" i="17" s="1"/>
  <c r="H32" i="17"/>
  <c r="L32" i="17" s="1"/>
  <c r="H31" i="17"/>
  <c r="L31" i="17" s="1"/>
  <c r="H30" i="17"/>
  <c r="L30" i="17" s="1"/>
  <c r="H29" i="17"/>
  <c r="L29" i="17" s="1"/>
  <c r="H44" i="17"/>
  <c r="L44" i="17" s="1"/>
  <c r="H37" i="17"/>
  <c r="L37" i="17" s="1"/>
  <c r="H26" i="17"/>
  <c r="L26" i="17" s="1"/>
  <c r="H25" i="17"/>
  <c r="L25" i="17" s="1"/>
  <c r="H24" i="17"/>
  <c r="L24" i="17" s="1"/>
  <c r="H23" i="17"/>
  <c r="L23" i="17" s="1"/>
  <c r="H36" i="17"/>
  <c r="H21" i="17"/>
  <c r="L21" i="17" s="1"/>
  <c r="H20" i="17"/>
  <c r="L20" i="17" s="1"/>
  <c r="H19" i="17"/>
  <c r="L19" i="17" s="1"/>
  <c r="H18" i="17"/>
  <c r="H17" i="17"/>
  <c r="L17" i="17" s="1"/>
  <c r="H16" i="17"/>
  <c r="L16" i="17" s="1"/>
  <c r="H11" i="17"/>
  <c r="L11" i="17" s="1"/>
  <c r="D10" i="17"/>
  <c r="H8" i="17"/>
  <c r="L8" i="17" s="1"/>
  <c r="H7" i="17"/>
  <c r="C24" i="16"/>
  <c r="A4" i="16"/>
  <c r="E24" i="16"/>
  <c r="G23" i="16"/>
  <c r="K23" i="16" s="1"/>
  <c r="G22" i="16"/>
  <c r="K22" i="16" s="1"/>
  <c r="G21" i="16"/>
  <c r="K21" i="16" s="1"/>
  <c r="G20" i="16"/>
  <c r="K20" i="16" s="1"/>
  <c r="G19" i="16"/>
  <c r="K19" i="16" s="1"/>
  <c r="I24" i="16"/>
  <c r="I28" i="16" s="1"/>
  <c r="I31" i="16" s="1"/>
  <c r="G18" i="16"/>
  <c r="K18" i="16" s="1"/>
  <c r="G17" i="16"/>
  <c r="K17" i="16" s="1"/>
  <c r="G16" i="16"/>
  <c r="K16" i="16" s="1"/>
  <c r="G15" i="16"/>
  <c r="K15" i="16" s="1"/>
  <c r="G14" i="16"/>
  <c r="K14" i="16" s="1"/>
  <c r="K9" i="16"/>
  <c r="K8" i="16"/>
  <c r="G7" i="16"/>
  <c r="A4" i="15"/>
  <c r="F62" i="15"/>
  <c r="D58" i="15"/>
  <c r="J57" i="15"/>
  <c r="J58" i="15" s="1"/>
  <c r="F57" i="15"/>
  <c r="F58" i="15" s="1"/>
  <c r="H56" i="15"/>
  <c r="H52" i="15"/>
  <c r="L52" i="15" s="1"/>
  <c r="H51" i="15"/>
  <c r="L51" i="15" s="1"/>
  <c r="H50" i="15"/>
  <c r="L50" i="15" s="1"/>
  <c r="H49" i="15"/>
  <c r="H47" i="15"/>
  <c r="L47" i="15" s="1"/>
  <c r="H46" i="15"/>
  <c r="L46" i="15" s="1"/>
  <c r="H45" i="15"/>
  <c r="L45" i="15" s="1"/>
  <c r="H44" i="15"/>
  <c r="L44" i="15" s="1"/>
  <c r="H43" i="15"/>
  <c r="L43" i="15" s="1"/>
  <c r="H42" i="15"/>
  <c r="L42" i="15" s="1"/>
  <c r="H41" i="15"/>
  <c r="L41" i="15" s="1"/>
  <c r="H40" i="15"/>
  <c r="L40" i="15" s="1"/>
  <c r="H39" i="15"/>
  <c r="L39" i="15" s="1"/>
  <c r="H38" i="15"/>
  <c r="L38" i="15" s="1"/>
  <c r="H37" i="15"/>
  <c r="L37" i="15" s="1"/>
  <c r="H36" i="15"/>
  <c r="L36" i="15" s="1"/>
  <c r="H35" i="15"/>
  <c r="L35" i="15" s="1"/>
  <c r="H34" i="15"/>
  <c r="L34" i="15" s="1"/>
  <c r="H33" i="15"/>
  <c r="L33" i="15" s="1"/>
  <c r="H32" i="15"/>
  <c r="L32" i="15" s="1"/>
  <c r="H31" i="15"/>
  <c r="L31" i="15" s="1"/>
  <c r="H30" i="15"/>
  <c r="L30" i="15" s="1"/>
  <c r="H29" i="15"/>
  <c r="L29" i="15" s="1"/>
  <c r="H28" i="15"/>
  <c r="L28" i="15" s="1"/>
  <c r="H27" i="15"/>
  <c r="L27" i="15" s="1"/>
  <c r="H26" i="15"/>
  <c r="L26" i="15" s="1"/>
  <c r="H25" i="15"/>
  <c r="L25" i="15" s="1"/>
  <c r="H23" i="15"/>
  <c r="L23" i="15" s="1"/>
  <c r="H22" i="15"/>
  <c r="L22" i="15" s="1"/>
  <c r="H21" i="15"/>
  <c r="L21" i="15" s="1"/>
  <c r="H20" i="15"/>
  <c r="L20" i="15" s="1"/>
  <c r="H19" i="15"/>
  <c r="L19" i="15" s="1"/>
  <c r="H18" i="15"/>
  <c r="L18" i="15" s="1"/>
  <c r="H17" i="15"/>
  <c r="L17" i="15" s="1"/>
  <c r="H16" i="15"/>
  <c r="L16" i="15" s="1"/>
  <c r="H15" i="15"/>
  <c r="L15" i="15" s="1"/>
  <c r="H14" i="15"/>
  <c r="L14" i="15" s="1"/>
  <c r="H13" i="15"/>
  <c r="L13" i="15" s="1"/>
  <c r="H12" i="15"/>
  <c r="H11" i="15"/>
  <c r="L11" i="15" s="1"/>
  <c r="J9" i="15"/>
  <c r="F9" i="15"/>
  <c r="D9" i="15"/>
  <c r="H8" i="15"/>
  <c r="L8" i="15" s="1"/>
  <c r="H7" i="15"/>
  <c r="A4" i="14"/>
  <c r="E30" i="14"/>
  <c r="I23" i="14"/>
  <c r="I28" i="14" s="1"/>
  <c r="E23" i="14"/>
  <c r="C23" i="14"/>
  <c r="G22" i="14"/>
  <c r="K22" i="14" s="1"/>
  <c r="G20" i="14"/>
  <c r="K20" i="14" s="1"/>
  <c r="G19" i="14"/>
  <c r="K19" i="14" s="1"/>
  <c r="G18" i="14"/>
  <c r="K18" i="14" s="1"/>
  <c r="G17" i="14"/>
  <c r="K17" i="14" s="1"/>
  <c r="G16" i="14"/>
  <c r="K16" i="14" s="1"/>
  <c r="G15" i="14"/>
  <c r="K15" i="14" s="1"/>
  <c r="G14" i="14"/>
  <c r="K14" i="14" s="1"/>
  <c r="G13" i="14"/>
  <c r="K13" i="14" s="1"/>
  <c r="G12" i="14"/>
  <c r="K12" i="14" s="1"/>
  <c r="I10" i="14"/>
  <c r="E10" i="14"/>
  <c r="C10" i="14"/>
  <c r="G9" i="14"/>
  <c r="K9" i="14" s="1"/>
  <c r="G8" i="14"/>
  <c r="K8" i="14" s="1"/>
  <c r="G7" i="14"/>
  <c r="K7" i="14" s="1"/>
  <c r="C10" i="13"/>
  <c r="A4" i="13"/>
  <c r="I20" i="13"/>
  <c r="C20" i="13"/>
  <c r="G19" i="13"/>
  <c r="K19" i="13" s="1"/>
  <c r="G18" i="13"/>
  <c r="K18" i="13" s="1"/>
  <c r="G17" i="13"/>
  <c r="K17" i="13" s="1"/>
  <c r="G16" i="13"/>
  <c r="K16" i="13" s="1"/>
  <c r="G15" i="13"/>
  <c r="K15" i="13" s="1"/>
  <c r="G14" i="13"/>
  <c r="K14" i="13" s="1"/>
  <c r="G13" i="13"/>
  <c r="K13" i="13" s="1"/>
  <c r="G12" i="13"/>
  <c r="I10" i="13"/>
  <c r="E10" i="13"/>
  <c r="C21" i="13"/>
  <c r="G9" i="13"/>
  <c r="K9" i="13" s="1"/>
  <c r="G8" i="13"/>
  <c r="K8" i="13" s="1"/>
  <c r="G7" i="13"/>
  <c r="C9" i="12"/>
  <c r="A4" i="12"/>
  <c r="C36" i="12"/>
  <c r="G11" i="12"/>
  <c r="I9" i="12"/>
  <c r="E9" i="12"/>
  <c r="C37" i="12"/>
  <c r="K8" i="12"/>
  <c r="G7" i="12"/>
  <c r="K7" i="12" s="1"/>
  <c r="A4" i="11"/>
  <c r="I13" i="11"/>
  <c r="E13" i="11"/>
  <c r="C13" i="11"/>
  <c r="G12" i="11"/>
  <c r="K12" i="11" s="1"/>
  <c r="K11" i="11"/>
  <c r="G11" i="11"/>
  <c r="I9" i="11"/>
  <c r="E9" i="11"/>
  <c r="C9" i="11"/>
  <c r="C14" i="11" s="1"/>
  <c r="G8" i="11"/>
  <c r="K8" i="11" s="1"/>
  <c r="G7" i="11"/>
  <c r="K7" i="11" s="1"/>
  <c r="H113" i="17" l="1"/>
  <c r="E20" i="18"/>
  <c r="G13" i="11"/>
  <c r="N71" i="9" s="1"/>
  <c r="K7" i="16"/>
  <c r="K12" i="16" s="1"/>
  <c r="G12" i="16"/>
  <c r="L7" i="17"/>
  <c r="L10" i="17" s="1"/>
  <c r="H10" i="17"/>
  <c r="L56" i="15"/>
  <c r="H57" i="15"/>
  <c r="H58" i="15" s="1"/>
  <c r="R71" i="9" s="1"/>
  <c r="L49" i="15"/>
  <c r="D59" i="15"/>
  <c r="D172" i="17"/>
  <c r="D174" i="17" s="1"/>
  <c r="K9" i="11"/>
  <c r="O71" i="9"/>
  <c r="L18" i="17"/>
  <c r="K13" i="11"/>
  <c r="L12" i="15"/>
  <c r="L36" i="17"/>
  <c r="H169" i="17"/>
  <c r="C21" i="18"/>
  <c r="C25" i="16"/>
  <c r="G10" i="13"/>
  <c r="C24" i="14"/>
  <c r="G8" i="18"/>
  <c r="K10" i="18"/>
  <c r="G11" i="18"/>
  <c r="K11" i="18" s="1"/>
  <c r="L115" i="17"/>
  <c r="L169" i="17" s="1"/>
  <c r="G24" i="16"/>
  <c r="S71" i="9" s="1"/>
  <c r="K24" i="16"/>
  <c r="H9" i="15"/>
  <c r="L7" i="15"/>
  <c r="L9" i="15" s="1"/>
  <c r="G23" i="14"/>
  <c r="Q71" i="9" s="1"/>
  <c r="K10" i="14"/>
  <c r="K23" i="14"/>
  <c r="G10" i="14"/>
  <c r="G20" i="13"/>
  <c r="P71" i="9" s="1"/>
  <c r="K7" i="13"/>
  <c r="K10" i="13" s="1"/>
  <c r="K12" i="13"/>
  <c r="K20" i="13" s="1"/>
  <c r="K9" i="12"/>
  <c r="G9" i="12"/>
  <c r="G37" i="12" s="1"/>
  <c r="O77" i="9" s="1"/>
  <c r="K11" i="12"/>
  <c r="G9" i="11"/>
  <c r="G14" i="11" s="1"/>
  <c r="N77" i="9" s="1"/>
  <c r="A4" i="3"/>
  <c r="G35" i="3"/>
  <c r="G32" i="3"/>
  <c r="K32" i="3" s="1"/>
  <c r="K31" i="3"/>
  <c r="G30" i="3"/>
  <c r="K30" i="3" s="1"/>
  <c r="G29" i="3"/>
  <c r="K29" i="3" s="1"/>
  <c r="G28" i="3"/>
  <c r="K28" i="3" s="1"/>
  <c r="G27" i="3"/>
  <c r="K27" i="3" s="1"/>
  <c r="G26" i="3"/>
  <c r="K26" i="3" s="1"/>
  <c r="G25" i="3"/>
  <c r="K25" i="3" s="1"/>
  <c r="G24" i="3"/>
  <c r="G23" i="3"/>
  <c r="K23" i="3" s="1"/>
  <c r="G22" i="3"/>
  <c r="K22" i="3" s="1"/>
  <c r="G20" i="3"/>
  <c r="G19" i="3"/>
  <c r="K19" i="3" s="1"/>
  <c r="G18" i="3"/>
  <c r="K18" i="3" s="1"/>
  <c r="G17" i="3"/>
  <c r="K17" i="3" s="1"/>
  <c r="G16" i="3"/>
  <c r="K16" i="3" s="1"/>
  <c r="G15" i="3"/>
  <c r="K15" i="3" s="1"/>
  <c r="G14" i="3"/>
  <c r="I12" i="3"/>
  <c r="E12" i="3"/>
  <c r="C12" i="3"/>
  <c r="G11" i="3"/>
  <c r="K11" i="3" s="1"/>
  <c r="G10" i="3"/>
  <c r="K10" i="3" s="1"/>
  <c r="G9" i="3"/>
  <c r="K9" i="3" s="1"/>
  <c r="G8" i="3"/>
  <c r="K8" i="3" s="1"/>
  <c r="G7" i="3"/>
  <c r="K7" i="3" s="1"/>
  <c r="K56" i="3" l="1"/>
  <c r="L113" i="17"/>
  <c r="L170" i="17" s="1"/>
  <c r="L171" i="17" s="1"/>
  <c r="K14" i="3"/>
  <c r="K20" i="3"/>
  <c r="L57" i="15"/>
  <c r="L58" i="15" s="1"/>
  <c r="H170" i="17"/>
  <c r="H171" i="17" s="1"/>
  <c r="T71" i="9" s="1"/>
  <c r="K24" i="3"/>
  <c r="H59" i="15"/>
  <c r="R77" i="9" s="1"/>
  <c r="G21" i="13"/>
  <c r="P77" i="9" s="1"/>
  <c r="K35" i="3"/>
  <c r="G24" i="14"/>
  <c r="Q77" i="9" s="1"/>
  <c r="K20" i="18"/>
  <c r="G20" i="18"/>
  <c r="G21" i="18" s="1"/>
  <c r="G25" i="16"/>
  <c r="S77" i="9" s="1"/>
  <c r="C57" i="3"/>
  <c r="K12" i="3"/>
  <c r="G12" i="3"/>
  <c r="H172" i="17" l="1"/>
  <c r="T77" i="9" s="1"/>
  <c r="M77" i="9"/>
  <c r="G57" i="3"/>
  <c r="L77" i="9" s="1"/>
  <c r="K73" i="9"/>
  <c r="K74" i="9" s="1"/>
  <c r="I73" i="9"/>
  <c r="I74" i="9" s="1"/>
  <c r="G73" i="9"/>
  <c r="W71" i="9"/>
  <c r="U62" i="9"/>
  <c r="V62" i="9" s="1"/>
  <c r="U59" i="9"/>
  <c r="U58" i="9"/>
  <c r="J57" i="9"/>
  <c r="L57" i="9" s="1"/>
  <c r="U57" i="9" s="1"/>
  <c r="J51" i="9"/>
  <c r="L51" i="9" s="1"/>
  <c r="U51" i="9" s="1"/>
  <c r="J50" i="9"/>
  <c r="L50" i="9" s="1"/>
  <c r="U50" i="9" s="1"/>
  <c r="U49" i="9"/>
  <c r="J49" i="9"/>
  <c r="J47" i="9"/>
  <c r="L47" i="9" s="1"/>
  <c r="U47" i="9" s="1"/>
  <c r="J46" i="9"/>
  <c r="J45" i="9"/>
  <c r="J44" i="9"/>
  <c r="J43" i="9"/>
  <c r="J42" i="9"/>
  <c r="J41" i="9"/>
  <c r="L41" i="9" s="1"/>
  <c r="U41" i="9" s="1"/>
  <c r="J40" i="9"/>
  <c r="L40" i="9" s="1"/>
  <c r="U40" i="9" s="1"/>
  <c r="J39" i="9"/>
  <c r="L39" i="9" s="1"/>
  <c r="U39" i="9" s="1"/>
  <c r="J38" i="9"/>
  <c r="L38" i="9" s="1"/>
  <c r="U38" i="9" s="1"/>
  <c r="J37" i="9"/>
  <c r="L37" i="9" s="1"/>
  <c r="U37" i="9" s="1"/>
  <c r="J36" i="9"/>
  <c r="L36" i="9" s="1"/>
  <c r="U36" i="9" s="1"/>
  <c r="J35" i="9"/>
  <c r="J34" i="9"/>
  <c r="J33" i="9"/>
  <c r="J32" i="9"/>
  <c r="J30" i="9"/>
  <c r="J29" i="9"/>
  <c r="J28" i="9"/>
  <c r="J27" i="9"/>
  <c r="J26" i="9"/>
  <c r="J25" i="9"/>
  <c r="U24" i="9"/>
  <c r="J24" i="9"/>
  <c r="U20" i="9"/>
  <c r="U19" i="9"/>
  <c r="J19" i="9"/>
  <c r="U18" i="9"/>
  <c r="J18" i="9"/>
  <c r="K17" i="9"/>
  <c r="K21" i="9" s="1"/>
  <c r="I17" i="9"/>
  <c r="I21" i="9" s="1"/>
  <c r="W16" i="9"/>
  <c r="C15" i="9"/>
  <c r="C14" i="9"/>
  <c r="W12" i="9"/>
  <c r="W17" i="9" s="1"/>
  <c r="W21" i="9" s="1"/>
  <c r="W72" i="9" s="1"/>
  <c r="H12" i="9"/>
  <c r="S11" i="9"/>
  <c r="O11" i="9"/>
  <c r="L11" i="9"/>
  <c r="J11" i="9"/>
  <c r="Q11" i="9"/>
  <c r="S10" i="9"/>
  <c r="J6" i="9"/>
  <c r="C6" i="9"/>
  <c r="D14" i="9" l="1"/>
  <c r="E14" i="9"/>
  <c r="D15" i="9"/>
  <c r="H15" i="9" s="1"/>
  <c r="H174" i="17"/>
  <c r="S12" i="9"/>
  <c r="V59" i="9"/>
  <c r="L6" i="9"/>
  <c r="W73" i="9"/>
  <c r="P10" i="9"/>
  <c r="T10" i="9"/>
  <c r="N11" i="9"/>
  <c r="R11" i="9"/>
  <c r="F15" i="9"/>
  <c r="L25" i="9"/>
  <c r="L26" i="9"/>
  <c r="U26" i="9" s="1"/>
  <c r="V26" i="9" s="1"/>
  <c r="L27" i="9"/>
  <c r="U27" i="9" s="1"/>
  <c r="V27" i="9" s="1"/>
  <c r="L28" i="9"/>
  <c r="U28" i="9" s="1"/>
  <c r="V28" i="9" s="1"/>
  <c r="L29" i="9"/>
  <c r="U29" i="9" s="1"/>
  <c r="V29" i="9" s="1"/>
  <c r="L30" i="9"/>
  <c r="L32" i="9"/>
  <c r="U32" i="9" s="1"/>
  <c r="V32" i="9" s="1"/>
  <c r="L33" i="9"/>
  <c r="U33" i="9" s="1"/>
  <c r="V33" i="9" s="1"/>
  <c r="L34" i="9"/>
  <c r="U34" i="9" s="1"/>
  <c r="V34" i="9" s="1"/>
  <c r="L35" i="9"/>
  <c r="U35" i="9" s="1"/>
  <c r="V35" i="9" s="1"/>
  <c r="V38" i="9"/>
  <c r="V39" i="9"/>
  <c r="L42" i="9"/>
  <c r="U42" i="9" s="1"/>
  <c r="V42" i="9" s="1"/>
  <c r="L43" i="9"/>
  <c r="U43" i="9" s="1"/>
  <c r="V43" i="9" s="1"/>
  <c r="L44" i="9"/>
  <c r="U44" i="9" s="1"/>
  <c r="V44" i="9" s="1"/>
  <c r="L45" i="9"/>
  <c r="U45" i="9" s="1"/>
  <c r="V45" i="9" s="1"/>
  <c r="L46" i="9"/>
  <c r="U46" i="9" s="1"/>
  <c r="V46" i="9" s="1"/>
  <c r="Q10" i="9"/>
  <c r="Q12" i="9" s="1"/>
  <c r="C12" i="9"/>
  <c r="C16" i="9"/>
  <c r="R10" i="9"/>
  <c r="P11" i="9"/>
  <c r="T11" i="9"/>
  <c r="F14" i="9"/>
  <c r="V24" i="9"/>
  <c r="M10" i="9"/>
  <c r="N10" i="9"/>
  <c r="O10" i="9"/>
  <c r="O12" i="9" s="1"/>
  <c r="M11" i="9"/>
  <c r="E15" i="9" l="1"/>
  <c r="E16" i="9" s="1"/>
  <c r="S14" i="9"/>
  <c r="Q14" i="9"/>
  <c r="O14" i="9"/>
  <c r="M14" i="9"/>
  <c r="L14" i="9"/>
  <c r="T14" i="9"/>
  <c r="R14" i="9"/>
  <c r="P14" i="9"/>
  <c r="N14" i="9"/>
  <c r="J15" i="9"/>
  <c r="H14" i="9"/>
  <c r="H16" i="9" s="1"/>
  <c r="H17" i="9" s="1"/>
  <c r="H21" i="9" s="1"/>
  <c r="H72" i="9" s="1"/>
  <c r="H73" i="9" s="1"/>
  <c r="H74" i="9" s="1"/>
  <c r="D16" i="9"/>
  <c r="U30" i="9"/>
  <c r="N12" i="9"/>
  <c r="P12" i="9"/>
  <c r="U11" i="9"/>
  <c r="V11" i="9" s="1"/>
  <c r="M12" i="9"/>
  <c r="R12" i="9"/>
  <c r="T12" i="9"/>
  <c r="J10" i="9"/>
  <c r="F12" i="9"/>
  <c r="L12" i="9"/>
  <c r="U10" i="9"/>
  <c r="U6" i="9"/>
  <c r="J14" i="9"/>
  <c r="F16" i="9"/>
  <c r="U25" i="9"/>
  <c r="U14" i="9" l="1"/>
  <c r="O16" i="9"/>
  <c r="O17" i="9" s="1"/>
  <c r="O21" i="9" s="1"/>
  <c r="O72" i="9" s="1"/>
  <c r="O79" i="9" s="1"/>
  <c r="S15" i="9"/>
  <c r="S16" i="9" s="1"/>
  <c r="S17" i="9" s="1"/>
  <c r="S21" i="9" s="1"/>
  <c r="S72" i="9" s="1"/>
  <c r="S79" i="9" s="1"/>
  <c r="Q15" i="9"/>
  <c r="Q16" i="9" s="1"/>
  <c r="Q17" i="9" s="1"/>
  <c r="Q21" i="9" s="1"/>
  <c r="Q72" i="9" s="1"/>
  <c r="O15" i="9"/>
  <c r="M15" i="9"/>
  <c r="M16" i="9" s="1"/>
  <c r="M17" i="9" s="1"/>
  <c r="M21" i="9" s="1"/>
  <c r="T15" i="9"/>
  <c r="T16" i="9" s="1"/>
  <c r="R15" i="9"/>
  <c r="R16" i="9" s="1"/>
  <c r="R17" i="9" s="1"/>
  <c r="R21" i="9" s="1"/>
  <c r="R72" i="9" s="1"/>
  <c r="P15" i="9"/>
  <c r="P16" i="9" s="1"/>
  <c r="P17" i="9" s="1"/>
  <c r="P21" i="9" s="1"/>
  <c r="P72" i="9" s="1"/>
  <c r="N15" i="9"/>
  <c r="N16" i="9" s="1"/>
  <c r="N17" i="9" s="1"/>
  <c r="N21" i="9" s="1"/>
  <c r="L15" i="9"/>
  <c r="V30" i="9"/>
  <c r="U12" i="9"/>
  <c r="T17" i="9"/>
  <c r="V14" i="9"/>
  <c r="J16" i="9"/>
  <c r="V25" i="9"/>
  <c r="V10" i="9"/>
  <c r="J12" i="9"/>
  <c r="F17" i="9"/>
  <c r="F21" i="9" s="1"/>
  <c r="F72" i="9" s="1"/>
  <c r="O73" i="9" l="1"/>
  <c r="O74" i="9" s="1"/>
  <c r="S73" i="9"/>
  <c r="S74" i="9" s="1"/>
  <c r="U15" i="9"/>
  <c r="L16" i="9"/>
  <c r="L17" i="9" s="1"/>
  <c r="L21" i="9" s="1"/>
  <c r="L72" i="9" s="1"/>
  <c r="L79" i="9" s="1"/>
  <c r="V71" i="9"/>
  <c r="Q73" i="9"/>
  <c r="Q74" i="9" s="1"/>
  <c r="Q79" i="9"/>
  <c r="P73" i="9"/>
  <c r="P74" i="9" s="1"/>
  <c r="P79" i="9"/>
  <c r="R73" i="9"/>
  <c r="R74" i="9" s="1"/>
  <c r="R79" i="9"/>
  <c r="M72" i="9"/>
  <c r="N72" i="9"/>
  <c r="T21" i="9"/>
  <c r="T72" i="9" s="1"/>
  <c r="T79" i="9" s="1"/>
  <c r="V12" i="9"/>
  <c r="J17" i="9"/>
  <c r="J21" i="9" s="1"/>
  <c r="J72" i="9" s="1"/>
  <c r="F73" i="9"/>
  <c r="F74" i="9" s="1"/>
  <c r="L73" i="9" l="1"/>
  <c r="L74" i="9" s="1"/>
  <c r="V15" i="9"/>
  <c r="U16" i="9"/>
  <c r="M73" i="9"/>
  <c r="M74" i="9" s="1"/>
  <c r="M79" i="9"/>
  <c r="N73" i="9"/>
  <c r="N74" i="9" s="1"/>
  <c r="N79" i="9"/>
  <c r="U75" i="9"/>
  <c r="T73" i="9"/>
  <c r="T74" i="9" s="1"/>
  <c r="J73" i="9"/>
  <c r="J74" i="9" s="1"/>
  <c r="V16" i="9" l="1"/>
  <c r="V17" i="9" s="1"/>
  <c r="V21" i="9" s="1"/>
  <c r="V72" i="9" s="1"/>
  <c r="V73" i="9" s="1"/>
  <c r="U17" i="9"/>
  <c r="U74" i="9"/>
  <c r="O8" i="9" l="1"/>
  <c r="P8" i="9"/>
  <c r="U21" i="9"/>
  <c r="U72" i="9" s="1"/>
  <c r="N8" i="9"/>
  <c r="L8" i="9"/>
  <c r="S8" i="9"/>
  <c r="T8" i="9"/>
  <c r="R8" i="9"/>
  <c r="Q8" i="9"/>
  <c r="M8" i="9"/>
  <c r="Y72" i="9" l="1"/>
  <c r="U73" i="9"/>
  <c r="Y73" i="9" s="1"/>
</calcChain>
</file>

<file path=xl/comments1.xml><?xml version="1.0" encoding="utf-8"?>
<comments xmlns="http://schemas.openxmlformats.org/spreadsheetml/2006/main">
  <authors>
    <author>Sandra Delacruz</author>
    <author>Suzette Foster-Jemmott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</rPr>
          <t>Sandra Delacruz:</t>
        </r>
        <r>
          <rPr>
            <sz val="9"/>
            <color indexed="81"/>
            <rFont val="Tahoma"/>
            <family val="2"/>
          </rPr>
          <t xml:space="preserve">
Blackbaud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Sandra Delacruz:</t>
        </r>
        <r>
          <rPr>
            <sz val="9"/>
            <color indexed="81"/>
            <rFont val="Tahoma"/>
            <family val="2"/>
          </rPr>
          <t xml:space="preserve">
Affordable Care Act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Sandra Delacruz:</t>
        </r>
        <r>
          <rPr>
            <sz val="9"/>
            <color indexed="81"/>
            <rFont val="Tahoma"/>
            <family val="2"/>
          </rPr>
          <t xml:space="preserve">
Affordable Care Act
</t>
        </r>
      </text>
    </comment>
    <comment ref="I23" authorId="1" shapeId="0">
      <text>
        <r>
          <rPr>
            <b/>
            <sz val="9"/>
            <color indexed="81"/>
            <rFont val="Tahoma"/>
            <charset val="1"/>
          </rPr>
          <t>Suzette Foster-Jemmott: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<sst xmlns="http://schemas.openxmlformats.org/spreadsheetml/2006/main" count="574" uniqueCount="290">
  <si>
    <t>Summer</t>
  </si>
  <si>
    <t>Student Government</t>
  </si>
  <si>
    <t>York College Association, Inc</t>
  </si>
  <si>
    <t>Semesters</t>
  </si>
  <si>
    <t>Initial Budget</t>
  </si>
  <si>
    <t>Adjustment</t>
  </si>
  <si>
    <t>Adjusted Budget</t>
  </si>
  <si>
    <t>Budget Committee</t>
  </si>
  <si>
    <t>Athletic Department</t>
  </si>
  <si>
    <t>Child &amp; Family Center</t>
  </si>
  <si>
    <t>Study/Away/Aboard Fund</t>
  </si>
  <si>
    <t>Game Room</t>
  </si>
  <si>
    <t>YC Radio Station</t>
  </si>
  <si>
    <t>A.P.A.F.</t>
  </si>
  <si>
    <t>Student Clubs</t>
  </si>
  <si>
    <t>Total</t>
  </si>
  <si>
    <t>Proposed Budget 2015-2016</t>
  </si>
  <si>
    <t xml:space="preserve">Fall </t>
  </si>
  <si>
    <t>Spring</t>
  </si>
  <si>
    <t xml:space="preserve"> </t>
  </si>
  <si>
    <t>Total Student Fees</t>
  </si>
  <si>
    <t>Other Rev (Gameroom)</t>
  </si>
  <si>
    <t>Reappropriation</t>
  </si>
  <si>
    <t>Transfer to Student Clubs</t>
  </si>
  <si>
    <t>Total Revenue</t>
  </si>
  <si>
    <t xml:space="preserve">Administrative Service </t>
  </si>
  <si>
    <t>Attorney Fee</t>
  </si>
  <si>
    <t>Auditing Fee</t>
  </si>
  <si>
    <t>Music License Fees</t>
  </si>
  <si>
    <t xml:space="preserve">Director's Insurance </t>
  </si>
  <si>
    <t>General Liability Insurance</t>
  </si>
  <si>
    <t>Student Accident Insurance</t>
  </si>
  <si>
    <t>Student Government Elections</t>
  </si>
  <si>
    <t>Board General &amp; Catering</t>
  </si>
  <si>
    <t>Use of Facilities</t>
  </si>
  <si>
    <t>Leadership Confer/Retreats</t>
  </si>
  <si>
    <t xml:space="preserve">  Club Fairs</t>
  </si>
  <si>
    <t xml:space="preserve">  Senior Dance</t>
  </si>
  <si>
    <t xml:space="preserve">  Salary</t>
  </si>
  <si>
    <t>Student Orientation</t>
  </si>
  <si>
    <t>Club Fairs</t>
  </si>
  <si>
    <t>Student Community Relations</t>
  </si>
  <si>
    <t>President Discretionary Fund</t>
  </si>
  <si>
    <t>Yearbook Committee</t>
  </si>
  <si>
    <t>Undergraduate Research Day</t>
  </si>
  <si>
    <t>Total Operating Expenses</t>
  </si>
  <si>
    <t>Unallocated Funds</t>
  </si>
  <si>
    <t xml:space="preserve">     Full-Time @ $72.15</t>
  </si>
  <si>
    <t xml:space="preserve">     Part-Time @ $52.15</t>
  </si>
  <si>
    <t>Proposed Budget/Expenditure Report - FY 2019</t>
  </si>
  <si>
    <t xml:space="preserve">  Giveaways (NSO, Convocation, Club Fair)</t>
  </si>
  <si>
    <t xml:space="preserve">  Desk &amp; Locks</t>
  </si>
  <si>
    <t xml:space="preserve">Budget Committee </t>
  </si>
  <si>
    <t xml:space="preserve"> Budget/Expenditure Report</t>
  </si>
  <si>
    <t>Y-T-D        Revenue Expenses &amp; Encumbrances</t>
  </si>
  <si>
    <t>Variances</t>
  </si>
  <si>
    <t>Total Revenue &amp; Reappropriation</t>
  </si>
  <si>
    <t>Professional Services</t>
  </si>
  <si>
    <t>Printing &amp; Duplicating</t>
  </si>
  <si>
    <t>Athletic Supplies</t>
  </si>
  <si>
    <t>Other Supplies</t>
  </si>
  <si>
    <t>Travel - Air Fare</t>
  </si>
  <si>
    <t>Local - Ground Transportation</t>
  </si>
  <si>
    <t xml:space="preserve">Hotel &amp; Lodging </t>
  </si>
  <si>
    <t>`</t>
  </si>
  <si>
    <t>Meals</t>
  </si>
  <si>
    <t>Registration Fees</t>
  </si>
  <si>
    <t>Rental</t>
  </si>
  <si>
    <t>Entry Fees</t>
  </si>
  <si>
    <t>Referee &amp; Game Aide</t>
  </si>
  <si>
    <t>Catering</t>
  </si>
  <si>
    <t>Membership</t>
  </si>
  <si>
    <t>Athletic Insurance</t>
  </si>
  <si>
    <t>Equipment</t>
  </si>
  <si>
    <t>Salary</t>
  </si>
  <si>
    <t xml:space="preserve">Study Away / Abroad Fund </t>
  </si>
  <si>
    <t>Budget/Expenditure Report</t>
  </si>
  <si>
    <t xml:space="preserve">Game Room </t>
  </si>
  <si>
    <t>Game Room Revenue</t>
  </si>
  <si>
    <t>Pool Table Maintenance</t>
  </si>
  <si>
    <t>Equipment Replacement</t>
  </si>
  <si>
    <t>Furniture Replacement</t>
  </si>
  <si>
    <t xml:space="preserve">Tournament - Catering </t>
  </si>
  <si>
    <t>Tournament - Awards (trophies)</t>
  </si>
  <si>
    <t>Supplies</t>
  </si>
  <si>
    <t>Webcasters / Fees</t>
  </si>
  <si>
    <t>Conferences</t>
  </si>
  <si>
    <t>Transcription Services</t>
  </si>
  <si>
    <t>Promotional Items</t>
  </si>
  <si>
    <t>Equipment Maintenance</t>
  </si>
  <si>
    <t>Office Supplies</t>
  </si>
  <si>
    <t>Association Performing Arts Fund</t>
  </si>
  <si>
    <t>Date</t>
  </si>
  <si>
    <t>Accounting Club</t>
  </si>
  <si>
    <t>African American Association</t>
  </si>
  <si>
    <t>African Student Association</t>
  </si>
  <si>
    <t>Aviation Club</t>
  </si>
  <si>
    <t>Bengali Student Association</t>
  </si>
  <si>
    <t>Brotherhood / Sisterhood Society</t>
  </si>
  <si>
    <t>Caribbean Student Association</t>
  </si>
  <si>
    <t>Cardinal Steppers</t>
  </si>
  <si>
    <t>Carribean Student Association</t>
  </si>
  <si>
    <t>Drama Club</t>
  </si>
  <si>
    <t xml:space="preserve">Evening Students </t>
  </si>
  <si>
    <t>Future Teachers Club</t>
  </si>
  <si>
    <t>Haitian Student Association</t>
  </si>
  <si>
    <t xml:space="preserve">Helping Hands </t>
  </si>
  <si>
    <t>Finance Club</t>
  </si>
  <si>
    <t>Information Systems Management</t>
  </si>
  <si>
    <t>Joy Intervarsity Club</t>
  </si>
  <si>
    <t>Latin Caucus</t>
  </si>
  <si>
    <t>Muslim Student Association</t>
  </si>
  <si>
    <t>Nursing Club</t>
  </si>
  <si>
    <t>Red Shoes</t>
  </si>
  <si>
    <t>SEEK</t>
  </si>
  <si>
    <t>Total Clubs Award</t>
  </si>
  <si>
    <t>Student Government Association</t>
  </si>
  <si>
    <t>Y-T-D         Expenses &amp; Encumbrances</t>
  </si>
  <si>
    <t>Administrative Fee</t>
  </si>
  <si>
    <t>Cultural, Social &amp; Educational Programs</t>
  </si>
  <si>
    <t>Co-Sponsorship (Special Allocation)</t>
  </si>
  <si>
    <t>SGA Award Banquet</t>
  </si>
  <si>
    <t>Club Info Fair &amp; Expo</t>
  </si>
  <si>
    <t>Study/Distress Week</t>
  </si>
  <si>
    <t>Stipends</t>
  </si>
  <si>
    <t>Biotechnology Club</t>
  </si>
  <si>
    <t>Blue Diamond Association</t>
  </si>
  <si>
    <t xml:space="preserve">Cardinal Steppers </t>
  </si>
  <si>
    <t>Cheerleading Squad</t>
  </si>
  <si>
    <t>Clinical Laboratory</t>
  </si>
  <si>
    <t>College of Knitting</t>
  </si>
  <si>
    <t>Geology Club</t>
  </si>
  <si>
    <t>Green Club</t>
  </si>
  <si>
    <t>Health &amp; Physical Education</t>
  </si>
  <si>
    <t>Helping Hands Club</t>
  </si>
  <si>
    <t>Human Resources Club</t>
  </si>
  <si>
    <t>International Student Club</t>
  </si>
  <si>
    <t>Joy/Intervarsity Club</t>
  </si>
  <si>
    <t>Red Shoes Club</t>
  </si>
  <si>
    <t>SAGA</t>
  </si>
  <si>
    <t>Social Work Club</t>
  </si>
  <si>
    <t>YSOTA</t>
  </si>
  <si>
    <t>Total Fall</t>
  </si>
  <si>
    <t>African American Club</t>
  </si>
  <si>
    <t>Chemistry Club</t>
  </si>
  <si>
    <t>Chinese New Year - Stdt Gov't</t>
  </si>
  <si>
    <t>Create &amp; Relate</t>
  </si>
  <si>
    <t>4th Floor Productions</t>
  </si>
  <si>
    <t>Gerontology Club</t>
  </si>
  <si>
    <t>Health Club</t>
  </si>
  <si>
    <t>Hillel Club</t>
  </si>
  <si>
    <t>Impact Club</t>
  </si>
  <si>
    <t>I.S.M.</t>
  </si>
  <si>
    <t>Physics Club</t>
  </si>
  <si>
    <t>Pre Med Club</t>
  </si>
  <si>
    <t>Safety Club</t>
  </si>
  <si>
    <t>Undergraduate Research Club</t>
  </si>
  <si>
    <t>Total Spring</t>
  </si>
  <si>
    <t>Transfer from Budget Committee</t>
  </si>
  <si>
    <t>Adjustded Unallocated Funds</t>
  </si>
  <si>
    <t>Pandora's Box</t>
  </si>
  <si>
    <t>Budget Awarded</t>
  </si>
  <si>
    <t>Total Budget Awarded</t>
  </si>
  <si>
    <t xml:space="preserve">Printing </t>
  </si>
  <si>
    <t>Web/Online</t>
  </si>
  <si>
    <t>Memberships</t>
  </si>
  <si>
    <t>Software / Training</t>
  </si>
  <si>
    <t>Awards</t>
  </si>
  <si>
    <t>Summer @ $15</t>
  </si>
  <si>
    <t>Maintenance</t>
  </si>
  <si>
    <t>Awards Dinner</t>
  </si>
  <si>
    <t>Recruitment Expenses</t>
  </si>
  <si>
    <t>Conference</t>
  </si>
  <si>
    <t>Guest Speaker</t>
  </si>
  <si>
    <t>International Student Event</t>
  </si>
  <si>
    <t>Black Student Union</t>
  </si>
  <si>
    <t>Cardinal Studios</t>
  </si>
  <si>
    <t>Environmental Health Science</t>
  </si>
  <si>
    <t>Gold Standard Accounting Society</t>
  </si>
  <si>
    <t>Leaders of Tommorrow</t>
  </si>
  <si>
    <t>N.A.B.A.</t>
  </si>
  <si>
    <t>Psychology Club</t>
  </si>
  <si>
    <t>Women in Aviation</t>
  </si>
  <si>
    <t>Women's Society</t>
  </si>
  <si>
    <t>Veteran's Club</t>
  </si>
  <si>
    <t>Pandora' Box</t>
  </si>
  <si>
    <t>Dean's List Ceremony</t>
  </si>
  <si>
    <t>Open House</t>
  </si>
  <si>
    <t>Club Fair</t>
  </si>
  <si>
    <t>NYSOTA</t>
  </si>
  <si>
    <t>Tip Off Event (Homecoming)</t>
  </si>
  <si>
    <t>Study Up Till Midnight</t>
  </si>
  <si>
    <t>TRIO Club</t>
  </si>
  <si>
    <t>Homecoming Event (Stdt Govt)</t>
  </si>
  <si>
    <t>Interactive Navigation System</t>
  </si>
  <si>
    <t>Banners (Phase 1)</t>
  </si>
  <si>
    <t>Theatre Club</t>
  </si>
  <si>
    <t>Trip to China (May Thru)</t>
  </si>
  <si>
    <t>NYASA Conference - 2019</t>
  </si>
  <si>
    <t>Black &amp; Puerto Rican Caucus</t>
  </si>
  <si>
    <t>Software</t>
  </si>
  <si>
    <t>City College</t>
  </si>
  <si>
    <t>College of Staten Island</t>
  </si>
  <si>
    <t>Society of African Minds</t>
  </si>
  <si>
    <t>Total Adjusted Budget &amp; Unallocated Funds</t>
  </si>
  <si>
    <t xml:space="preserve">Total Expenses </t>
  </si>
  <si>
    <t>Kennedy Center College Theater Festival</t>
  </si>
  <si>
    <t>Form A Adj</t>
  </si>
  <si>
    <t>Initial Enroll.</t>
  </si>
  <si>
    <t>Adj Enroll.</t>
  </si>
  <si>
    <t>Operating Expenses</t>
  </si>
  <si>
    <t>Women History Month</t>
  </si>
  <si>
    <t>Women's History Month</t>
  </si>
  <si>
    <t>College Assistant in Business Office</t>
  </si>
  <si>
    <t>Anime Club</t>
  </si>
  <si>
    <t>Furture Teachers Club</t>
  </si>
  <si>
    <t>Impact Filipino</t>
  </si>
  <si>
    <t>Leaders of Tomorrow</t>
  </si>
  <si>
    <t>Trio club</t>
  </si>
  <si>
    <t>Pre-Med</t>
  </si>
  <si>
    <t>Reallocation</t>
  </si>
  <si>
    <t>Bengali club</t>
  </si>
  <si>
    <t>Music Club</t>
  </si>
  <si>
    <t>Red Shoes - Do it like Dance Class</t>
  </si>
  <si>
    <t>Red Shoes - Socacize</t>
  </si>
  <si>
    <t xml:space="preserve">Red Shoes - Beauty </t>
  </si>
  <si>
    <t>SEEK Society</t>
  </si>
  <si>
    <t>Pre- Med Club</t>
  </si>
  <si>
    <t>African Students Association - 4/18/19</t>
  </si>
  <si>
    <t>African Students Association   - 5/2/19</t>
  </si>
  <si>
    <t>NABA - Why CPA</t>
  </si>
  <si>
    <t>CLS Club - Professional Awareness</t>
  </si>
  <si>
    <t>Cardinal Studios - Open Mic</t>
  </si>
  <si>
    <t>Gold Standards Accounting Club - Spring Formal</t>
  </si>
  <si>
    <t>African Student Association - Afro Vybz</t>
  </si>
  <si>
    <t>African Student Association - Fashion Show</t>
  </si>
  <si>
    <t>Red Shoes - Do it like Hooli</t>
  </si>
  <si>
    <t>Red Shoes - Break the Glass</t>
  </si>
  <si>
    <t>Red Shoes - After Party Bruk Out</t>
  </si>
  <si>
    <t>Allocated to Clubs</t>
  </si>
  <si>
    <t>Allocated for Commencement 2019</t>
  </si>
  <si>
    <t>Allocated for Accepted Student Reception 2019</t>
  </si>
  <si>
    <t xml:space="preserve">          Re- Allocation (April 16th)</t>
  </si>
  <si>
    <t>Desk &amp; Locks</t>
  </si>
  <si>
    <t>Giveaways (NSO, Convocation, Club Fair)</t>
  </si>
  <si>
    <t>Undergraduate Day</t>
  </si>
  <si>
    <t>Leadership Conferences/Retreats</t>
  </si>
  <si>
    <t>Allocated to SGA for Senior Activities</t>
  </si>
  <si>
    <t>Reappropriation - April 16, 2019</t>
  </si>
  <si>
    <t>Carribean Students - Drip Workshop</t>
  </si>
  <si>
    <t>Carribean Students - Carribean Carnival</t>
  </si>
  <si>
    <t>Drama Club - YC Club Feud</t>
  </si>
  <si>
    <t>Drama Club - Marvel vs DC Comics</t>
  </si>
  <si>
    <t>ISM Society</t>
  </si>
  <si>
    <t>Gold Standards Accounting Club</t>
  </si>
  <si>
    <t>Math Club</t>
  </si>
  <si>
    <t>SEEK Society - Flag Fete</t>
  </si>
  <si>
    <t>True Society</t>
  </si>
  <si>
    <t>Nursing Club - Pinning Ceremony</t>
  </si>
  <si>
    <t xml:space="preserve">Veteran's Club - Memorial Day </t>
  </si>
  <si>
    <t>Allocated to SGA for Senior Activities 2019</t>
  </si>
  <si>
    <t>Mid-Year Adjustments</t>
  </si>
  <si>
    <t>Abdukodir, Nurmakhamatov - China</t>
  </si>
  <si>
    <t>Taslima, Sarmin - Greece</t>
  </si>
  <si>
    <t>Vitaliy, Matsko - Greece</t>
  </si>
  <si>
    <t>Hemwattie, Rampersuad - India</t>
  </si>
  <si>
    <t>Vimal, Soomai - India</t>
  </si>
  <si>
    <t>Natalia, Gayott - Italy</t>
  </si>
  <si>
    <t>Jasmin Budham - NewZealand</t>
  </si>
  <si>
    <t>Yvonne Gayle - South Africa</t>
  </si>
  <si>
    <t>Asha-Dawn Brissett - South Korea</t>
  </si>
  <si>
    <t>Luz Cadavid - Moldova</t>
  </si>
  <si>
    <t>Michelle London - Moldova</t>
  </si>
  <si>
    <t>Nikita Penoston - Moldova</t>
  </si>
  <si>
    <t>Starr Felicier - Moldova</t>
  </si>
  <si>
    <t>Tamara Hawkins - Moldova</t>
  </si>
  <si>
    <t>Adrianna Cabrera - Moldova</t>
  </si>
  <si>
    <t>Keisha Catulle - Moldova</t>
  </si>
  <si>
    <t>Gisele Santana - Moldova</t>
  </si>
  <si>
    <t>Evelyn England - Moldova</t>
  </si>
  <si>
    <t>Robotics Conference - Alabama</t>
  </si>
  <si>
    <t>AOTA</t>
  </si>
  <si>
    <t xml:space="preserve"> Go back to approvals</t>
  </si>
  <si>
    <t>Funds Allocated (Clubs - $12,020, Nursing $4,424)</t>
  </si>
  <si>
    <t>Allocated to NABA</t>
  </si>
  <si>
    <t>Allocated for 2 additional Students to Moldova</t>
  </si>
  <si>
    <t>Allocated for Nursing Students to Moldova</t>
  </si>
  <si>
    <t>Veteran's Club - Memorial Day (Cancelled)</t>
  </si>
  <si>
    <t>As of June 30, 2019</t>
  </si>
  <si>
    <t>Ticket/Box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</si>
</sst>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mm/dd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color indexed="8"/>
      <name val="Calibri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4" fillId="0" borderId="7" xfId="1" applyNumberFormat="1" applyFont="1" applyFill="1" applyBorder="1"/>
    <xf numFmtId="0" fontId="0" fillId="0" borderId="0" xfId="0" applyFill="1" applyBorder="1"/>
    <xf numFmtId="164" fontId="4" fillId="0" borderId="4" xfId="1" applyNumberFormat="1" applyFont="1" applyFill="1" applyBorder="1"/>
    <xf numFmtId="164" fontId="4" fillId="0" borderId="0" xfId="1" applyNumberFormat="1" applyFont="1" applyFill="1" applyBorder="1"/>
    <xf numFmtId="164" fontId="4" fillId="0" borderId="10" xfId="1" applyNumberFormat="1" applyFont="1" applyFill="1" applyBorder="1"/>
    <xf numFmtId="164" fontId="2" fillId="0" borderId="10" xfId="0" applyNumberFormat="1" applyFont="1" applyFill="1" applyBorder="1"/>
    <xf numFmtId="164" fontId="1" fillId="0" borderId="0" xfId="1" applyNumberFormat="1" applyFont="1" applyFill="1"/>
    <xf numFmtId="0" fontId="0" fillId="0" borderId="10" xfId="0" applyFill="1" applyBorder="1"/>
    <xf numFmtId="164" fontId="0" fillId="0" borderId="10" xfId="0" applyNumberFormat="1" applyFill="1" applyBorder="1"/>
    <xf numFmtId="164" fontId="0" fillId="0" borderId="0" xfId="0" applyNumberFormat="1" applyFill="1"/>
    <xf numFmtId="164" fontId="4" fillId="0" borderId="5" xfId="1" applyNumberFormat="1" applyFont="1" applyFill="1" applyBorder="1"/>
    <xf numFmtId="164" fontId="4" fillId="0" borderId="3" xfId="1" applyNumberFormat="1" applyFont="1" applyFill="1" applyBorder="1"/>
    <xf numFmtId="164" fontId="4" fillId="0" borderId="1" xfId="1" applyNumberFormat="1" applyFont="1" applyFill="1" applyBorder="1"/>
    <xf numFmtId="164" fontId="4" fillId="0" borderId="6" xfId="1" applyNumberFormat="1" applyFont="1" applyFill="1" applyBorder="1"/>
    <xf numFmtId="164" fontId="2" fillId="0" borderId="6" xfId="0" applyNumberFormat="1" applyFont="1" applyFill="1" applyBorder="1"/>
    <xf numFmtId="164" fontId="0" fillId="0" borderId="1" xfId="0" applyNumberFormat="1" applyFill="1" applyBorder="1"/>
    <xf numFmtId="164" fontId="1" fillId="0" borderId="1" xfId="1" applyNumberFormat="1" applyFont="1" applyFill="1" applyBorder="1"/>
    <xf numFmtId="43" fontId="0" fillId="0" borderId="0" xfId="0" applyNumberFormat="1" applyFill="1"/>
    <xf numFmtId="164" fontId="4" fillId="0" borderId="8" xfId="1" applyNumberFormat="1" applyFont="1" applyFill="1" applyBorder="1"/>
    <xf numFmtId="164" fontId="4" fillId="0" borderId="2" xfId="1" applyNumberFormat="1" applyFont="1" applyFill="1" applyBorder="1"/>
    <xf numFmtId="164" fontId="4" fillId="0" borderId="17" xfId="1" applyNumberFormat="1" applyFont="1" applyFill="1" applyBorder="1"/>
    <xf numFmtId="164" fontId="3" fillId="0" borderId="17" xfId="1" applyNumberFormat="1" applyFont="1" applyFill="1" applyBorder="1"/>
    <xf numFmtId="164" fontId="3" fillId="0" borderId="6" xfId="1" applyNumberFormat="1" applyFont="1" applyFill="1" applyBorder="1"/>
    <xf numFmtId="0" fontId="6" fillId="0" borderId="0" xfId="0" applyFont="1" applyFill="1" applyAlignment="1">
      <alignment horizontal="left"/>
    </xf>
    <xf numFmtId="164" fontId="4" fillId="0" borderId="0" xfId="1" applyNumberFormat="1" applyFont="1" applyFill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 applyFill="1" applyAlignment="1"/>
    <xf numFmtId="164" fontId="4" fillId="0" borderId="14" xfId="1" applyNumberFormat="1" applyFont="1" applyFill="1" applyBorder="1"/>
    <xf numFmtId="164" fontId="0" fillId="0" borderId="3" xfId="0" applyNumberForma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44" fontId="0" fillId="0" borderId="0" xfId="2" applyFont="1" applyFill="1" applyAlignment="1">
      <alignment horizontal="left"/>
    </xf>
    <xf numFmtId="44" fontId="0" fillId="0" borderId="0" xfId="2" applyFont="1" applyFill="1"/>
    <xf numFmtId="44" fontId="0" fillId="0" borderId="0" xfId="2" applyFont="1" applyFill="1" applyBorder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8" fillId="0" borderId="0" xfId="0" applyFont="1" applyFill="1" applyAlignment="1"/>
    <xf numFmtId="164" fontId="3" fillId="0" borderId="3" xfId="1" applyNumberFormat="1" applyFont="1" applyFill="1" applyBorder="1"/>
    <xf numFmtId="164" fontId="3" fillId="0" borderId="1" xfId="1" applyNumberFormat="1" applyFont="1" applyFill="1" applyBorder="1"/>
    <xf numFmtId="164" fontId="3" fillId="0" borderId="14" xfId="1" applyNumberFormat="1" applyFont="1" applyFill="1" applyBorder="1"/>
    <xf numFmtId="0" fontId="2" fillId="0" borderId="0" xfId="0" applyFont="1" applyFill="1" applyAlignment="1">
      <alignment horizontal="left"/>
    </xf>
    <xf numFmtId="164" fontId="2" fillId="0" borderId="8" xfId="0" applyNumberFormat="1" applyFont="1" applyFill="1" applyBorder="1"/>
    <xf numFmtId="164" fontId="2" fillId="0" borderId="2" xfId="0" applyNumberFormat="1" applyFont="1" applyFill="1" applyBorder="1"/>
    <xf numFmtId="164" fontId="2" fillId="0" borderId="17" xfId="0" applyNumberFormat="1" applyFont="1" applyFill="1" applyBorder="1"/>
    <xf numFmtId="164" fontId="2" fillId="0" borderId="0" xfId="0" applyNumberFormat="1" applyFont="1" applyFill="1" applyBorder="1"/>
    <xf numFmtId="0" fontId="9" fillId="0" borderId="0" xfId="0" applyFont="1" applyFill="1" applyAlignment="1">
      <alignment horizontal="left"/>
    </xf>
    <xf numFmtId="165" fontId="0" fillId="0" borderId="0" xfId="0" applyNumberFormat="1" applyFill="1" applyAlignment="1">
      <alignment horizontal="left"/>
    </xf>
    <xf numFmtId="165" fontId="5" fillId="0" borderId="11" xfId="0" applyNumberFormat="1" applyFont="1" applyFill="1" applyBorder="1" applyAlignment="1">
      <alignment horizontal="left"/>
    </xf>
    <xf numFmtId="165" fontId="6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/>
    <xf numFmtId="165" fontId="6" fillId="0" borderId="0" xfId="0" applyNumberFormat="1" applyFont="1" applyFill="1" applyBorder="1" applyAlignment="1"/>
    <xf numFmtId="165" fontId="7" fillId="0" borderId="0" xfId="0" applyNumberFormat="1" applyFont="1" applyFill="1" applyAlignment="1"/>
    <xf numFmtId="165" fontId="8" fillId="0" borderId="0" xfId="0" applyNumberFormat="1" applyFont="1" applyFill="1" applyAlignment="1"/>
    <xf numFmtId="165" fontId="2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165" fontId="9" fillId="0" borderId="0" xfId="0" applyNumberFormat="1" applyFont="1" applyFill="1" applyAlignment="1">
      <alignment horizontal="left"/>
    </xf>
    <xf numFmtId="165" fontId="0" fillId="0" borderId="0" xfId="2" applyNumberFormat="1" applyFont="1" applyFill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4" fontId="10" fillId="0" borderId="11" xfId="3" applyNumberFormat="1" applyFont="1" applyFill="1" applyBorder="1" applyAlignment="1">
      <alignment horizontal="center" wrapText="1"/>
    </xf>
    <xf numFmtId="164" fontId="10" fillId="0" borderId="0" xfId="3" applyNumberFormat="1" applyFont="1" applyFill="1" applyBorder="1" applyAlignment="1">
      <alignment horizontal="center" wrapText="1"/>
    </xf>
    <xf numFmtId="164" fontId="4" fillId="0" borderId="0" xfId="3" applyNumberFormat="1" applyFont="1"/>
    <xf numFmtId="164" fontId="4" fillId="0" borderId="0" xfId="3" applyNumberFormat="1" applyFont="1" applyBorder="1"/>
    <xf numFmtId="164" fontId="4" fillId="0" borderId="0" xfId="3" applyNumberFormat="1" applyFont="1" applyFill="1"/>
    <xf numFmtId="164" fontId="4" fillId="0" borderId="0" xfId="3" applyNumberFormat="1" applyFont="1" applyFill="1" applyBorder="1"/>
    <xf numFmtId="164" fontId="4" fillId="0" borderId="1" xfId="3" applyNumberFormat="1" applyFont="1" applyBorder="1"/>
    <xf numFmtId="164" fontId="4" fillId="0" borderId="1" xfId="3" applyNumberFormat="1" applyFont="1" applyFill="1" applyBorder="1"/>
    <xf numFmtId="0" fontId="6" fillId="0" borderId="0" xfId="0" applyFont="1"/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164" fontId="8" fillId="0" borderId="11" xfId="3" applyNumberFormat="1" applyFont="1" applyFill="1" applyBorder="1" applyAlignment="1">
      <alignment horizontal="center" wrapText="1"/>
    </xf>
    <xf numFmtId="164" fontId="8" fillId="0" borderId="0" xfId="3" applyNumberFormat="1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Border="1"/>
    <xf numFmtId="164" fontId="7" fillId="0" borderId="0" xfId="3" applyNumberFormat="1" applyFont="1"/>
    <xf numFmtId="164" fontId="7" fillId="0" borderId="0" xfId="3" applyNumberFormat="1" applyFont="1" applyBorder="1"/>
    <xf numFmtId="164" fontId="7" fillId="0" borderId="0" xfId="3" applyNumberFormat="1" applyFont="1" applyFill="1"/>
    <xf numFmtId="164" fontId="7" fillId="0" borderId="0" xfId="3" applyNumberFormat="1" applyFont="1" applyFill="1" applyBorder="1"/>
    <xf numFmtId="0" fontId="7" fillId="0" borderId="0" xfId="0" applyFont="1" applyAlignment="1">
      <alignment horizontal="right"/>
    </xf>
    <xf numFmtId="164" fontId="7" fillId="0" borderId="1" xfId="3" applyNumberFormat="1" applyFont="1" applyBorder="1"/>
    <xf numFmtId="164" fontId="7" fillId="0" borderId="1" xfId="3" applyNumberFormat="1" applyFont="1" applyFill="1" applyBorder="1"/>
    <xf numFmtId="0" fontId="7" fillId="0" borderId="0" xfId="0" applyFont="1" applyAlignment="1">
      <alignment horizontal="left"/>
    </xf>
    <xf numFmtId="164" fontId="0" fillId="0" borderId="0" xfId="1" applyNumberFormat="1" applyFont="1" applyFill="1"/>
    <xf numFmtId="164" fontId="0" fillId="0" borderId="0" xfId="1" applyNumberFormat="1" applyFont="1"/>
    <xf numFmtId="0" fontId="6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164" fontId="7" fillId="0" borderId="0" xfId="0" applyNumberFormat="1" applyFont="1" applyFill="1"/>
    <xf numFmtId="166" fontId="7" fillId="0" borderId="0" xfId="0" applyNumberFormat="1" applyFont="1"/>
    <xf numFmtId="164" fontId="7" fillId="0" borderId="0" xfId="0" applyNumberFormat="1" applyFont="1"/>
    <xf numFmtId="164" fontId="7" fillId="0" borderId="14" xfId="3" applyNumberFormat="1" applyFont="1" applyBorder="1"/>
    <xf numFmtId="164" fontId="7" fillId="0" borderId="0" xfId="0" applyNumberFormat="1" applyFont="1" applyFill="1" applyBorder="1"/>
    <xf numFmtId="0" fontId="11" fillId="0" borderId="0" xfId="0" applyFont="1"/>
    <xf numFmtId="0" fontId="13" fillId="0" borderId="0" xfId="0" applyFont="1"/>
    <xf numFmtId="14" fontId="7" fillId="0" borderId="0" xfId="0" applyNumberFormat="1" applyFont="1" applyAlignment="1">
      <alignment horizontal="center"/>
    </xf>
    <xf numFmtId="164" fontId="13" fillId="0" borderId="0" xfId="0" applyNumberFormat="1" applyFont="1"/>
    <xf numFmtId="0" fontId="12" fillId="0" borderId="0" xfId="0" applyFont="1" applyAlignment="1">
      <alignment horizontal="left"/>
    </xf>
    <xf numFmtId="166" fontId="7" fillId="0" borderId="0" xfId="0" applyNumberFormat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3" fontId="7" fillId="0" borderId="0" xfId="3" applyFont="1"/>
    <xf numFmtId="43" fontId="7" fillId="0" borderId="0" xfId="3" applyFont="1" applyBorder="1"/>
    <xf numFmtId="43" fontId="7" fillId="0" borderId="0" xfId="3" applyFont="1" applyFill="1"/>
    <xf numFmtId="43" fontId="7" fillId="0" borderId="0" xfId="3" applyFont="1" applyFill="1" applyBorder="1"/>
    <xf numFmtId="164" fontId="7" fillId="0" borderId="14" xfId="3" applyNumberFormat="1" applyFont="1" applyFill="1" applyBorder="1"/>
    <xf numFmtId="164" fontId="0" fillId="0" borderId="0" xfId="0" applyNumberFormat="1" applyFill="1" applyBorder="1"/>
    <xf numFmtId="9" fontId="4" fillId="0" borderId="4" xfId="1" applyNumberFormat="1" applyFont="1" applyFill="1" applyBorder="1"/>
    <xf numFmtId="9" fontId="4" fillId="0" borderId="0" xfId="1" applyNumberFormat="1" applyFont="1" applyFill="1" applyBorder="1"/>
    <xf numFmtId="43" fontId="0" fillId="0" borderId="0" xfId="0" applyNumberFormat="1"/>
    <xf numFmtId="0" fontId="0" fillId="0" borderId="0" xfId="0" applyFont="1" applyBorder="1"/>
    <xf numFmtId="0" fontId="0" fillId="0" borderId="0" xfId="0" applyFont="1"/>
    <xf numFmtId="0" fontId="0" fillId="0" borderId="4" xfId="0" applyFill="1" applyBorder="1"/>
    <xf numFmtId="43" fontId="0" fillId="0" borderId="0" xfId="1" applyFont="1" applyFill="1" applyAlignment="1">
      <alignment horizontal="left"/>
    </xf>
    <xf numFmtId="0" fontId="5" fillId="0" borderId="12" xfId="0" applyFont="1" applyFill="1" applyBorder="1" applyAlignment="1">
      <alignment horizontal="center" wrapText="1"/>
    </xf>
    <xf numFmtId="0" fontId="0" fillId="2" borderId="7" xfId="0" applyFill="1" applyBorder="1"/>
    <xf numFmtId="164" fontId="4" fillId="2" borderId="7" xfId="1" applyNumberFormat="1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0" fillId="2" borderId="18" xfId="0" applyFill="1" applyBorder="1"/>
    <xf numFmtId="0" fontId="0" fillId="2" borderId="10" xfId="0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0" fontId="2" fillId="2" borderId="17" xfId="0" applyFont="1" applyFill="1" applyBorder="1"/>
    <xf numFmtId="0" fontId="0" fillId="2" borderId="19" xfId="0" applyFill="1" applyBorder="1"/>
    <xf numFmtId="164" fontId="3" fillId="0" borderId="10" xfId="1" applyNumberFormat="1" applyFont="1" applyFill="1" applyBorder="1"/>
    <xf numFmtId="165" fontId="0" fillId="0" borderId="0" xfId="0" applyNumberFormat="1" applyFill="1" applyBorder="1" applyAlignment="1">
      <alignment horizontal="left"/>
    </xf>
    <xf numFmtId="164" fontId="6" fillId="0" borderId="0" xfId="3" applyNumberFormat="1" applyFont="1" applyFill="1"/>
    <xf numFmtId="164" fontId="18" fillId="0" borderId="0" xfId="0" applyNumberFormat="1" applyFont="1" applyFill="1"/>
    <xf numFmtId="0" fontId="18" fillId="0" borderId="0" xfId="0" applyFont="1" applyFill="1" applyBorder="1"/>
    <xf numFmtId="0" fontId="11" fillId="0" borderId="0" xfId="0" applyFont="1" applyFill="1"/>
    <xf numFmtId="44" fontId="11" fillId="0" borderId="0" xfId="2" applyFont="1" applyFill="1"/>
    <xf numFmtId="0" fontId="19" fillId="0" borderId="0" xfId="0" applyFont="1" applyFill="1" applyAlignment="1"/>
    <xf numFmtId="0" fontId="9" fillId="0" borderId="0" xfId="0" applyFont="1" applyBorder="1"/>
    <xf numFmtId="164" fontId="20" fillId="0" borderId="0" xfId="3" applyNumberFormat="1" applyFont="1"/>
    <xf numFmtId="164" fontId="20" fillId="0" borderId="0" xfId="3" applyNumberFormat="1" applyFont="1" applyBorder="1"/>
    <xf numFmtId="164" fontId="20" fillId="0" borderId="0" xfId="3" applyNumberFormat="1" applyFont="1" applyFill="1"/>
    <xf numFmtId="164" fontId="20" fillId="0" borderId="0" xfId="3" applyNumberFormat="1" applyFont="1" applyFill="1" applyBorder="1"/>
    <xf numFmtId="0" fontId="9" fillId="0" borderId="0" xfId="0" applyFont="1"/>
    <xf numFmtId="164" fontId="0" fillId="0" borderId="0" xfId="1" applyNumberFormat="1" applyFont="1" applyFill="1" applyAlignment="1">
      <alignment horizontal="center"/>
    </xf>
    <xf numFmtId="164" fontId="3" fillId="0" borderId="11" xfId="1" applyNumberFormat="1" applyFont="1" applyFill="1" applyBorder="1" applyAlignment="1">
      <alignment horizontal="center" wrapText="1"/>
    </xf>
    <xf numFmtId="164" fontId="20" fillId="0" borderId="0" xfId="1" applyNumberFormat="1" applyFont="1" applyFill="1"/>
    <xf numFmtId="164" fontId="4" fillId="0" borderId="0" xfId="1" applyNumberFormat="1" applyFont="1" applyBorder="1"/>
    <xf numFmtId="164" fontId="0" fillId="0" borderId="0" xfId="3" applyNumberFormat="1" applyFont="1" applyFill="1"/>
    <xf numFmtId="164" fontId="0" fillId="0" borderId="0" xfId="3" applyNumberFormat="1" applyFont="1"/>
    <xf numFmtId="164" fontId="21" fillId="0" borderId="0" xfId="1" applyNumberFormat="1" applyFont="1" applyFill="1"/>
    <xf numFmtId="166" fontId="7" fillId="0" borderId="0" xfId="0" applyNumberFormat="1" applyFont="1" applyFill="1" applyAlignment="1">
      <alignment horizontal="center"/>
    </xf>
    <xf numFmtId="164" fontId="13" fillId="0" borderId="0" xfId="0" applyNumberFormat="1" applyFont="1" applyFill="1"/>
    <xf numFmtId="0" fontId="21" fillId="0" borderId="0" xfId="0" applyFont="1" applyFill="1"/>
    <xf numFmtId="164" fontId="21" fillId="0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4" fillId="3" borderId="0" xfId="1" applyNumberFormat="1" applyFont="1" applyFill="1"/>
  </cellXfs>
  <cellStyles count="4">
    <cellStyle name="Comma" xfId="1" builtinId="3"/>
    <cellStyle name="Comma 2" xf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tabSelected="1" zoomScaleNormal="100" workbookViewId="0">
      <selection activeCell="N31" sqref="N31"/>
    </sheetView>
  </sheetViews>
  <sheetFormatPr defaultRowHeight="15" x14ac:dyDescent="0.25"/>
  <cols>
    <col min="1" max="1" width="42.140625" style="52" customWidth="1"/>
    <col min="2" max="2" width="7.7109375" style="77" bestFit="1" customWidth="1"/>
    <col min="3" max="3" width="7" bestFit="1" customWidth="1"/>
    <col min="4" max="4" width="5.85546875" style="1" customWidth="1"/>
    <col min="5" max="5" width="7" style="1" bestFit="1" customWidth="1"/>
    <col min="6" max="6" width="9.42578125" customWidth="1"/>
    <col min="7" max="7" width="0.42578125" style="1" customWidth="1"/>
    <col min="8" max="8" width="10.5703125" customWidth="1"/>
    <col min="9" max="9" width="0.5703125" style="1" customWidth="1"/>
    <col min="10" max="10" width="10.7109375" customWidth="1"/>
    <col min="11" max="11" width="0.7109375" style="1" customWidth="1"/>
    <col min="12" max="12" width="12.28515625" bestFit="1" customWidth="1"/>
    <col min="13" max="13" width="10.5703125" style="4" customWidth="1"/>
    <col min="14" max="14" width="9.7109375" bestFit="1" customWidth="1"/>
    <col min="15" max="15" width="10.5703125" style="4" customWidth="1"/>
    <col min="16" max="18" width="8" style="4" customWidth="1"/>
    <col min="19" max="19" width="10.85546875" style="4" customWidth="1"/>
    <col min="20" max="20" width="11.5703125" style="4" bestFit="1" customWidth="1"/>
    <col min="21" max="21" width="10.7109375" customWidth="1"/>
    <col min="22" max="22" width="9.7109375" hidden="1" customWidth="1"/>
    <col min="23" max="23" width="10.5703125" hidden="1" customWidth="1"/>
    <col min="24" max="24" width="11" customWidth="1"/>
  </cols>
  <sheetData>
    <row r="1" spans="1:27" x14ac:dyDescent="0.25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</row>
    <row r="2" spans="1:27" x14ac:dyDescent="0.25">
      <c r="A2" s="182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1:27" s="4" customFormat="1" x14ac:dyDescent="0.25">
      <c r="A3" s="183" t="s">
        <v>288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</row>
    <row r="4" spans="1:27" s="4" customFormat="1" ht="9" customHeight="1" x14ac:dyDescent="0.25">
      <c r="A4" s="5"/>
      <c r="B4" s="6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7" s="4" customFormat="1" ht="45.75" thickBot="1" x14ac:dyDescent="0.3">
      <c r="A5" s="7" t="s">
        <v>3</v>
      </c>
      <c r="B5" s="67"/>
      <c r="C5" s="8" t="s">
        <v>208</v>
      </c>
      <c r="D5" s="145" t="s">
        <v>207</v>
      </c>
      <c r="E5" s="145" t="s">
        <v>209</v>
      </c>
      <c r="F5" s="10" t="s">
        <v>4</v>
      </c>
      <c r="G5" s="9"/>
      <c r="H5" s="10" t="s">
        <v>5</v>
      </c>
      <c r="I5" s="9"/>
      <c r="J5" s="11" t="s">
        <v>6</v>
      </c>
      <c r="K5" s="12"/>
      <c r="L5" s="8" t="s">
        <v>7</v>
      </c>
      <c r="M5" s="10" t="s">
        <v>8</v>
      </c>
      <c r="N5" s="10" t="s">
        <v>9</v>
      </c>
      <c r="O5" s="10" t="s">
        <v>10</v>
      </c>
      <c r="P5" s="10" t="s">
        <v>11</v>
      </c>
      <c r="Q5" s="10" t="s">
        <v>12</v>
      </c>
      <c r="R5" s="10" t="s">
        <v>13</v>
      </c>
      <c r="S5" s="10" t="s">
        <v>1</v>
      </c>
      <c r="T5" s="10" t="s">
        <v>14</v>
      </c>
      <c r="U5" s="11" t="s">
        <v>15</v>
      </c>
      <c r="W5" s="13" t="s">
        <v>16</v>
      </c>
      <c r="X5" s="14"/>
    </row>
    <row r="6" spans="1:27" s="4" customFormat="1" x14ac:dyDescent="0.25">
      <c r="A6" s="5" t="s">
        <v>168</v>
      </c>
      <c r="B6" s="66"/>
      <c r="C6" s="15">
        <f>2030*0.9</f>
        <v>1827</v>
      </c>
      <c r="D6" s="16"/>
      <c r="E6" s="16"/>
      <c r="F6" s="17">
        <f>1827*15</f>
        <v>27405</v>
      </c>
      <c r="G6" s="18"/>
      <c r="H6" s="18">
        <v>0</v>
      </c>
      <c r="I6" s="18"/>
      <c r="J6" s="19">
        <f>+F6+H6</f>
        <v>27405</v>
      </c>
      <c r="K6" s="18"/>
      <c r="L6" s="17">
        <f>+J6</f>
        <v>27405</v>
      </c>
      <c r="M6" s="18"/>
      <c r="N6" s="18"/>
      <c r="O6" s="18"/>
      <c r="P6" s="18"/>
      <c r="Q6" s="18"/>
      <c r="R6" s="18"/>
      <c r="S6" s="18"/>
      <c r="T6" s="18"/>
      <c r="U6" s="20">
        <f>SUM(L6:T6)</f>
        <v>27405</v>
      </c>
      <c r="W6" s="21">
        <v>18800</v>
      </c>
    </row>
    <row r="7" spans="1:27" s="4" customFormat="1" x14ac:dyDescent="0.25">
      <c r="A7" s="5"/>
      <c r="B7" s="66"/>
      <c r="C7" s="15"/>
      <c r="D7" s="16"/>
      <c r="E7" s="16"/>
      <c r="F7" s="17"/>
      <c r="G7" s="18"/>
      <c r="H7" s="18"/>
      <c r="I7" s="18"/>
      <c r="J7" s="19"/>
      <c r="K7" s="18"/>
      <c r="L7" s="17"/>
      <c r="M7" s="18"/>
      <c r="N7" s="18"/>
      <c r="O7" s="18"/>
      <c r="P7" s="18"/>
      <c r="Q7" s="18"/>
      <c r="R7" s="18"/>
      <c r="S7" s="18"/>
      <c r="T7" s="18"/>
      <c r="U7" s="22"/>
      <c r="W7" s="21"/>
    </row>
    <row r="8" spans="1:27" s="4" customFormat="1" hidden="1" x14ac:dyDescent="0.25">
      <c r="A8" s="5"/>
      <c r="B8" s="66"/>
      <c r="C8" s="15"/>
      <c r="D8" s="16"/>
      <c r="E8" s="16"/>
      <c r="F8" s="17"/>
      <c r="G8" s="18"/>
      <c r="H8" s="18"/>
      <c r="I8" s="18"/>
      <c r="J8" s="19"/>
      <c r="K8" s="18"/>
      <c r="L8" s="138">
        <f>+L17/U17</f>
        <v>0.29493532674138634</v>
      </c>
      <c r="M8" s="139">
        <f>+M17/U17</f>
        <v>0.30686220707266304</v>
      </c>
      <c r="N8" s="139">
        <f>+N17/U17</f>
        <v>7.349726937337267E-2</v>
      </c>
      <c r="O8" s="139">
        <f>+O17/U17</f>
        <v>5.4337068063719386E-2</v>
      </c>
      <c r="P8" s="139">
        <f>+P17/U17</f>
        <v>4.4098361624023599E-2</v>
      </c>
      <c r="Q8" s="139">
        <f>+Q17/U17</f>
        <v>5.8797815498698135E-2</v>
      </c>
      <c r="R8" s="139">
        <f>+R17/U17</f>
        <v>2.9398907749349067E-2</v>
      </c>
      <c r="S8" s="139">
        <f>+S17/U17</f>
        <v>8.8196723248047199E-2</v>
      </c>
      <c r="T8" s="139">
        <f>+T17/U17</f>
        <v>4.9876320628740631E-2</v>
      </c>
      <c r="U8" s="22"/>
      <c r="W8" s="21"/>
    </row>
    <row r="9" spans="1:27" s="4" customFormat="1" x14ac:dyDescent="0.25">
      <c r="A9" s="5" t="s">
        <v>17</v>
      </c>
      <c r="B9" s="66"/>
      <c r="C9" s="15"/>
      <c r="D9" s="16"/>
      <c r="E9" s="16"/>
      <c r="F9" s="17"/>
      <c r="G9" s="18"/>
      <c r="H9" s="18"/>
      <c r="I9" s="18"/>
      <c r="J9" s="19"/>
      <c r="K9" s="18"/>
      <c r="L9" s="143"/>
      <c r="U9" s="22"/>
      <c r="W9" s="21"/>
    </row>
    <row r="10" spans="1:27" s="4" customFormat="1" x14ac:dyDescent="0.25">
      <c r="A10" s="5" t="s">
        <v>47</v>
      </c>
      <c r="B10" s="144">
        <v>72.150000000000006</v>
      </c>
      <c r="C10" s="15">
        <v>5232</v>
      </c>
      <c r="D10" s="16"/>
      <c r="E10" s="16"/>
      <c r="F10" s="17">
        <v>336493</v>
      </c>
      <c r="G10" s="18"/>
      <c r="H10" s="18">
        <v>40996</v>
      </c>
      <c r="I10" s="18"/>
      <c r="J10" s="19">
        <f>+F10+H10</f>
        <v>377489</v>
      </c>
      <c r="K10" s="18"/>
      <c r="L10" s="17">
        <f>C10*21.15</f>
        <v>110656.79999999999</v>
      </c>
      <c r="M10" s="18">
        <f>C10*23</f>
        <v>120336</v>
      </c>
      <c r="N10" s="18">
        <f>C10*5</f>
        <v>26160</v>
      </c>
      <c r="O10" s="18">
        <f>C10*4</f>
        <v>20928</v>
      </c>
      <c r="P10" s="18">
        <f>C10*3</f>
        <v>15696</v>
      </c>
      <c r="Q10" s="18">
        <f>C10*4</f>
        <v>20928</v>
      </c>
      <c r="R10" s="18">
        <f>C10*2</f>
        <v>10464</v>
      </c>
      <c r="S10" s="18">
        <f>+C10*6</f>
        <v>31392</v>
      </c>
      <c r="T10" s="18">
        <f>C10*4</f>
        <v>20928</v>
      </c>
      <c r="U10" s="23">
        <f>SUM(L10:T10)</f>
        <v>377488.8</v>
      </c>
      <c r="V10" s="24">
        <f>J10-U10</f>
        <v>0.20000000001164153</v>
      </c>
      <c r="W10" s="21">
        <v>306741</v>
      </c>
    </row>
    <row r="11" spans="1:27" s="4" customFormat="1" x14ac:dyDescent="0.25">
      <c r="A11" s="5" t="s">
        <v>48</v>
      </c>
      <c r="B11" s="144">
        <v>52.15</v>
      </c>
      <c r="C11" s="15">
        <v>2151</v>
      </c>
      <c r="D11" s="16"/>
      <c r="E11" s="16"/>
      <c r="F11" s="17">
        <v>97719</v>
      </c>
      <c r="G11" s="18"/>
      <c r="H11" s="18">
        <v>14455</v>
      </c>
      <c r="I11" s="18"/>
      <c r="J11" s="19">
        <f>+F11+H11</f>
        <v>112174</v>
      </c>
      <c r="K11" s="18"/>
      <c r="L11" s="17">
        <f>C11*11.15</f>
        <v>23983.65</v>
      </c>
      <c r="M11" s="18">
        <f>C11*16</f>
        <v>34416</v>
      </c>
      <c r="N11" s="18">
        <f>C11*5</f>
        <v>10755</v>
      </c>
      <c r="O11" s="18">
        <f>C11*3</f>
        <v>6453</v>
      </c>
      <c r="P11" s="18">
        <f>C11*3</f>
        <v>6453</v>
      </c>
      <c r="Q11" s="18">
        <f>C11*4</f>
        <v>8604</v>
      </c>
      <c r="R11" s="18">
        <f>C11*2</f>
        <v>4302</v>
      </c>
      <c r="S11" s="18">
        <f>+C11*6</f>
        <v>12906</v>
      </c>
      <c r="T11" s="18">
        <f>C11*2</f>
        <v>4302</v>
      </c>
      <c r="U11" s="23">
        <f>SUM(L11:T11)</f>
        <v>112174.65</v>
      </c>
      <c r="V11" s="24">
        <f>J11-U11</f>
        <v>-0.64999999999417923</v>
      </c>
      <c r="W11" s="21">
        <v>94866</v>
      </c>
    </row>
    <row r="12" spans="1:27" s="4" customFormat="1" x14ac:dyDescent="0.25">
      <c r="A12" s="5" t="s">
        <v>15</v>
      </c>
      <c r="B12" s="66"/>
      <c r="C12" s="25">
        <f>SUM(C10:C11)</f>
        <v>7383</v>
      </c>
      <c r="D12" s="25">
        <f t="shared" ref="D12:E12" si="0">SUM(D10:D11)</f>
        <v>0</v>
      </c>
      <c r="E12" s="25">
        <f t="shared" si="0"/>
        <v>0</v>
      </c>
      <c r="F12" s="26">
        <f>SUM(F10:F11)</f>
        <v>434212</v>
      </c>
      <c r="G12" s="18"/>
      <c r="H12" s="27">
        <f>SUM(H10:H11)</f>
        <v>55451</v>
      </c>
      <c r="I12" s="18"/>
      <c r="J12" s="28">
        <f>SUM(J10:J11)</f>
        <v>489663</v>
      </c>
      <c r="K12" s="18"/>
      <c r="L12" s="26">
        <f t="shared" ref="L12:T12" si="1">SUM(L10:L11)</f>
        <v>134640.44999999998</v>
      </c>
      <c r="M12" s="27">
        <f t="shared" si="1"/>
        <v>154752</v>
      </c>
      <c r="N12" s="27">
        <f t="shared" si="1"/>
        <v>36915</v>
      </c>
      <c r="O12" s="27">
        <f t="shared" si="1"/>
        <v>27381</v>
      </c>
      <c r="P12" s="27">
        <f t="shared" si="1"/>
        <v>22149</v>
      </c>
      <c r="Q12" s="27">
        <f t="shared" si="1"/>
        <v>29532</v>
      </c>
      <c r="R12" s="27">
        <f t="shared" si="1"/>
        <v>14766</v>
      </c>
      <c r="S12" s="27">
        <f t="shared" si="1"/>
        <v>44298</v>
      </c>
      <c r="T12" s="27">
        <f t="shared" si="1"/>
        <v>25230</v>
      </c>
      <c r="U12" s="29">
        <f>SUM(U10:U11)</f>
        <v>489663.44999999995</v>
      </c>
      <c r="V12" s="30">
        <f>J12-U12</f>
        <v>-0.44999999995343387</v>
      </c>
      <c r="W12" s="31">
        <f>SUM(W10:W11)</f>
        <v>401607</v>
      </c>
      <c r="X12" s="32"/>
    </row>
    <row r="13" spans="1:27" s="4" customFormat="1" x14ac:dyDescent="0.25">
      <c r="A13" s="5" t="s">
        <v>18</v>
      </c>
      <c r="B13" s="66"/>
      <c r="C13" s="15"/>
      <c r="D13" s="16"/>
      <c r="E13" s="16"/>
      <c r="F13" s="17"/>
      <c r="G13" s="18"/>
      <c r="H13" s="18"/>
      <c r="I13" s="18"/>
      <c r="J13" s="19"/>
      <c r="K13" s="18"/>
      <c r="L13" s="17"/>
      <c r="M13" s="18"/>
      <c r="N13" s="18"/>
      <c r="O13" s="18"/>
      <c r="P13" s="18"/>
      <c r="Q13" s="18"/>
      <c r="R13" s="18"/>
      <c r="S13" s="18"/>
      <c r="T13" s="18"/>
      <c r="U13" s="22"/>
      <c r="W13" s="21"/>
    </row>
    <row r="14" spans="1:27" s="4" customFormat="1" x14ac:dyDescent="0.25">
      <c r="A14" s="5" t="s">
        <v>47</v>
      </c>
      <c r="B14" s="144">
        <v>72.150000000000006</v>
      </c>
      <c r="C14" s="15">
        <f>4643*0.9</f>
        <v>4178.7</v>
      </c>
      <c r="D14" s="137">
        <f>4472+90-C14</f>
        <v>383.30000000000018</v>
      </c>
      <c r="E14" s="137">
        <f>+C14+D14</f>
        <v>4562</v>
      </c>
      <c r="F14" s="17">
        <f>C14*72.15</f>
        <v>301493.20500000002</v>
      </c>
      <c r="G14" s="18"/>
      <c r="H14" s="18">
        <f>+D14*B14</f>
        <v>27655.095000000016</v>
      </c>
      <c r="I14" s="18"/>
      <c r="J14" s="19">
        <f>+F14+H14</f>
        <v>329148.30000000005</v>
      </c>
      <c r="K14" s="18"/>
      <c r="L14" s="17">
        <f>E14*21.15</f>
        <v>96486.299999999988</v>
      </c>
      <c r="M14" s="18">
        <f>E14*23</f>
        <v>104926</v>
      </c>
      <c r="N14" s="18">
        <f>E14*5</f>
        <v>22810</v>
      </c>
      <c r="O14" s="18">
        <f>E14*4</f>
        <v>18248</v>
      </c>
      <c r="P14" s="18">
        <f>E14*3</f>
        <v>13686</v>
      </c>
      <c r="Q14" s="18">
        <f>E14*4</f>
        <v>18248</v>
      </c>
      <c r="R14" s="18">
        <f>E14*2</f>
        <v>9124</v>
      </c>
      <c r="S14" s="18">
        <f>E14*6</f>
        <v>27372</v>
      </c>
      <c r="T14" s="18">
        <f>E14*4</f>
        <v>18248</v>
      </c>
      <c r="U14" s="23">
        <f>SUM(L14:T14)+1</f>
        <v>329149.3</v>
      </c>
      <c r="V14" s="24">
        <f>J14-U14</f>
        <v>-0.99999999994179234</v>
      </c>
      <c r="W14" s="21">
        <v>278337</v>
      </c>
      <c r="AA14" s="4" t="s">
        <v>19</v>
      </c>
    </row>
    <row r="15" spans="1:27" s="4" customFormat="1" x14ac:dyDescent="0.25">
      <c r="A15" s="5" t="s">
        <v>48</v>
      </c>
      <c r="B15" s="144">
        <v>52.15</v>
      </c>
      <c r="C15" s="15">
        <f>2257*0.9</f>
        <v>2031.3</v>
      </c>
      <c r="D15" s="137">
        <f>2041+75-C15</f>
        <v>84.700000000000045</v>
      </c>
      <c r="E15" s="137">
        <f>+C15+D15</f>
        <v>2116</v>
      </c>
      <c r="F15" s="17">
        <f>C15*52.15</f>
        <v>105932.295</v>
      </c>
      <c r="G15" s="18"/>
      <c r="H15" s="18">
        <f>+D15*B15</f>
        <v>4417.1050000000023</v>
      </c>
      <c r="I15" s="18"/>
      <c r="J15" s="19">
        <f>+F15+H15</f>
        <v>110349.4</v>
      </c>
      <c r="K15" s="18"/>
      <c r="L15" s="17">
        <f>E15*11.15</f>
        <v>23593.4</v>
      </c>
      <c r="M15" s="18">
        <f>E15*16</f>
        <v>33856</v>
      </c>
      <c r="N15" s="18">
        <f>E15*5</f>
        <v>10580</v>
      </c>
      <c r="O15" s="18">
        <f>E15*3</f>
        <v>6348</v>
      </c>
      <c r="P15" s="18">
        <f>E15*3</f>
        <v>6348</v>
      </c>
      <c r="Q15" s="18">
        <f>E15*4</f>
        <v>8464</v>
      </c>
      <c r="R15" s="18">
        <f>E15*2</f>
        <v>4232</v>
      </c>
      <c r="S15" s="18">
        <f>E15*6</f>
        <v>12696</v>
      </c>
      <c r="T15" s="18">
        <f>E15*2</f>
        <v>4232</v>
      </c>
      <c r="U15" s="23">
        <f t="shared" ref="U15:U20" si="2">SUM(L15:T15)</f>
        <v>110349.4</v>
      </c>
      <c r="V15" s="24">
        <f>J15-U15</f>
        <v>0</v>
      </c>
      <c r="W15" s="21">
        <v>101891</v>
      </c>
    </row>
    <row r="16" spans="1:27" s="4" customFormat="1" x14ac:dyDescent="0.25">
      <c r="A16" s="5" t="s">
        <v>15</v>
      </c>
      <c r="B16" s="66"/>
      <c r="C16" s="25">
        <f>SUM(C14:C15)</f>
        <v>6210</v>
      </c>
      <c r="D16" s="25">
        <f>SUM(D14:D15)</f>
        <v>468.00000000000023</v>
      </c>
      <c r="E16" s="25">
        <f>SUM(E14:E15)</f>
        <v>6678</v>
      </c>
      <c r="F16" s="26">
        <f>SUM(F14:F15)</f>
        <v>407425.5</v>
      </c>
      <c r="G16" s="18"/>
      <c r="H16" s="27">
        <f>SUM(H14:H15)</f>
        <v>32072.200000000019</v>
      </c>
      <c r="I16" s="18"/>
      <c r="J16" s="28">
        <f>SUM(J14:J15)</f>
        <v>439497.70000000007</v>
      </c>
      <c r="K16" s="18"/>
      <c r="L16" s="26">
        <f t="shared" ref="L16:T16" si="3">SUM(L14:L15)</f>
        <v>120079.69999999998</v>
      </c>
      <c r="M16" s="27">
        <f t="shared" si="3"/>
        <v>138782</v>
      </c>
      <c r="N16" s="27">
        <f t="shared" si="3"/>
        <v>33390</v>
      </c>
      <c r="O16" s="27">
        <f t="shared" si="3"/>
        <v>24596</v>
      </c>
      <c r="P16" s="27">
        <f t="shared" si="3"/>
        <v>20034</v>
      </c>
      <c r="Q16" s="27">
        <f t="shared" si="3"/>
        <v>26712</v>
      </c>
      <c r="R16" s="27">
        <f t="shared" si="3"/>
        <v>13356</v>
      </c>
      <c r="S16" s="27">
        <f t="shared" si="3"/>
        <v>40068</v>
      </c>
      <c r="T16" s="27">
        <f t="shared" si="3"/>
        <v>22480</v>
      </c>
      <c r="U16" s="29">
        <f>SUM(U14:U15)-1</f>
        <v>439497.69999999995</v>
      </c>
      <c r="V16" s="30">
        <f>J16-U16</f>
        <v>0</v>
      </c>
      <c r="W16" s="31">
        <f>SUM(W14:W15)</f>
        <v>380228</v>
      </c>
      <c r="X16" s="32"/>
    </row>
    <row r="17" spans="1:24" s="4" customFormat="1" x14ac:dyDescent="0.25">
      <c r="A17" s="5" t="s">
        <v>20</v>
      </c>
      <c r="B17" s="158"/>
      <c r="C17" s="18"/>
      <c r="D17" s="16"/>
      <c r="E17" s="16"/>
      <c r="F17" s="33">
        <f>+F12+F16+F6</f>
        <v>869042.5</v>
      </c>
      <c r="G17" s="34"/>
      <c r="H17" s="34">
        <f t="shared" ref="H17:V17" si="4">H6+H12+H16</f>
        <v>87523.200000000012</v>
      </c>
      <c r="I17" s="34">
        <f t="shared" si="4"/>
        <v>0</v>
      </c>
      <c r="J17" s="35">
        <f t="shared" si="4"/>
        <v>956565.70000000007</v>
      </c>
      <c r="K17" s="34">
        <f t="shared" si="4"/>
        <v>0</v>
      </c>
      <c r="L17" s="33">
        <f t="shared" si="4"/>
        <v>282125.14999999997</v>
      </c>
      <c r="M17" s="34">
        <f t="shared" si="4"/>
        <v>293534</v>
      </c>
      <c r="N17" s="34">
        <f t="shared" si="4"/>
        <v>70305</v>
      </c>
      <c r="O17" s="34">
        <f t="shared" si="4"/>
        <v>51977</v>
      </c>
      <c r="P17" s="34">
        <f t="shared" si="4"/>
        <v>42183</v>
      </c>
      <c r="Q17" s="34">
        <f t="shared" si="4"/>
        <v>56244</v>
      </c>
      <c r="R17" s="34">
        <f t="shared" si="4"/>
        <v>28122</v>
      </c>
      <c r="S17" s="34">
        <f t="shared" si="4"/>
        <v>84366</v>
      </c>
      <c r="T17" s="34">
        <f t="shared" si="4"/>
        <v>47710</v>
      </c>
      <c r="U17" s="36">
        <f>U6+U12+U16</f>
        <v>956566.14999999991</v>
      </c>
      <c r="V17" s="34">
        <f t="shared" si="4"/>
        <v>-0.44999999995343387</v>
      </c>
      <c r="W17" s="34">
        <f>W6+W12+W16</f>
        <v>800635</v>
      </c>
      <c r="X17" s="32"/>
    </row>
    <row r="18" spans="1:24" s="4" customFormat="1" x14ac:dyDescent="0.25">
      <c r="A18" s="5" t="s">
        <v>21</v>
      </c>
      <c r="B18" s="158"/>
      <c r="C18" s="18"/>
      <c r="D18" s="16"/>
      <c r="E18" s="16"/>
      <c r="F18" s="17">
        <v>1600</v>
      </c>
      <c r="G18" s="18"/>
      <c r="H18" s="18">
        <v>0</v>
      </c>
      <c r="I18" s="18"/>
      <c r="J18" s="19">
        <f>+F18+H18</f>
        <v>1600</v>
      </c>
      <c r="K18" s="18"/>
      <c r="L18" s="17">
        <v>0</v>
      </c>
      <c r="M18" s="18">
        <v>0</v>
      </c>
      <c r="N18" s="18">
        <v>0</v>
      </c>
      <c r="O18" s="18">
        <v>0</v>
      </c>
      <c r="P18" s="18">
        <v>1600</v>
      </c>
      <c r="Q18" s="18">
        <v>0</v>
      </c>
      <c r="R18" s="18">
        <v>0</v>
      </c>
      <c r="S18" s="18">
        <v>0</v>
      </c>
      <c r="T18" s="18">
        <v>0</v>
      </c>
      <c r="U18" s="19">
        <f t="shared" si="2"/>
        <v>1600</v>
      </c>
      <c r="W18" s="21">
        <v>1500</v>
      </c>
    </row>
    <row r="19" spans="1:24" s="4" customFormat="1" x14ac:dyDescent="0.25">
      <c r="A19" s="5" t="s">
        <v>22</v>
      </c>
      <c r="B19" s="158"/>
      <c r="C19" s="18"/>
      <c r="D19" s="16"/>
      <c r="E19" s="16"/>
      <c r="F19" s="17">
        <v>0</v>
      </c>
      <c r="G19" s="18"/>
      <c r="H19" s="18">
        <f>75514+50000+16000+15000+15000+16000+11609+16444-4424+7400+25000</f>
        <v>243543</v>
      </c>
      <c r="I19" s="18"/>
      <c r="J19" s="19">
        <f>+F19+H19</f>
        <v>243543</v>
      </c>
      <c r="K19" s="18"/>
      <c r="L19" s="17">
        <f>50000+16000+15000+15000+11609+25000</f>
        <v>132609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f>75514+7400</f>
        <v>82914</v>
      </c>
      <c r="T19" s="18">
        <f>16000+16444-4424</f>
        <v>28020</v>
      </c>
      <c r="U19" s="19">
        <f>SUM(L19:T19)</f>
        <v>243543</v>
      </c>
      <c r="W19" s="21">
        <v>0</v>
      </c>
    </row>
    <row r="20" spans="1:24" s="4" customFormat="1" hidden="1" x14ac:dyDescent="0.25">
      <c r="A20" s="5" t="s">
        <v>23</v>
      </c>
      <c r="B20" s="158"/>
      <c r="C20" s="18"/>
      <c r="D20" s="16"/>
      <c r="E20" s="16"/>
      <c r="F20" s="17"/>
      <c r="G20" s="18"/>
      <c r="H20" s="18">
        <v>0</v>
      </c>
      <c r="I20" s="18"/>
      <c r="J20" s="19">
        <v>0</v>
      </c>
      <c r="K20" s="18"/>
      <c r="L20" s="17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9">
        <f t="shared" si="2"/>
        <v>0</v>
      </c>
      <c r="W20" s="21">
        <v>0</v>
      </c>
    </row>
    <row r="21" spans="1:24" s="4" customFormat="1" x14ac:dyDescent="0.25">
      <c r="A21" s="5" t="s">
        <v>24</v>
      </c>
      <c r="B21" s="158"/>
      <c r="C21" s="18"/>
      <c r="D21" s="16"/>
      <c r="E21" s="16"/>
      <c r="F21" s="26">
        <f>+F17+F18</f>
        <v>870642.5</v>
      </c>
      <c r="G21" s="18"/>
      <c r="H21" s="27">
        <f t="shared" ref="H21:V21" si="5">SUM(H17:H20)</f>
        <v>331066.2</v>
      </c>
      <c r="I21" s="27">
        <f t="shared" si="5"/>
        <v>0</v>
      </c>
      <c r="J21" s="28">
        <f>SUM(J17:J20)</f>
        <v>1201708.7000000002</v>
      </c>
      <c r="K21" s="27">
        <f t="shared" si="5"/>
        <v>0</v>
      </c>
      <c r="L21" s="26">
        <f t="shared" si="5"/>
        <v>414734.14999999997</v>
      </c>
      <c r="M21" s="27">
        <f t="shared" si="5"/>
        <v>293534</v>
      </c>
      <c r="N21" s="27">
        <f t="shared" si="5"/>
        <v>70305</v>
      </c>
      <c r="O21" s="27">
        <f t="shared" si="5"/>
        <v>51977</v>
      </c>
      <c r="P21" s="27">
        <f t="shared" si="5"/>
        <v>43783</v>
      </c>
      <c r="Q21" s="27">
        <f>SUM(Q17:Q20)</f>
        <v>56244</v>
      </c>
      <c r="R21" s="27">
        <f t="shared" si="5"/>
        <v>28122</v>
      </c>
      <c r="S21" s="27">
        <f t="shared" si="5"/>
        <v>167280</v>
      </c>
      <c r="T21" s="27">
        <f t="shared" si="5"/>
        <v>75730</v>
      </c>
      <c r="U21" s="37">
        <f>SUM(U17:U20)</f>
        <v>1201709.1499999999</v>
      </c>
      <c r="V21" s="27">
        <f t="shared" si="5"/>
        <v>-0.44999999995343387</v>
      </c>
      <c r="W21" s="27">
        <f>SUM(W17:W20)</f>
        <v>802135</v>
      </c>
    </row>
    <row r="22" spans="1:24" s="4" customFormat="1" x14ac:dyDescent="0.25">
      <c r="A22" s="5"/>
      <c r="B22" s="158"/>
      <c r="C22" s="18"/>
      <c r="D22" s="16"/>
      <c r="E22" s="16"/>
      <c r="F22" s="18"/>
      <c r="G22" s="18"/>
      <c r="H22" s="18"/>
      <c r="I22" s="18"/>
      <c r="J22" s="19"/>
      <c r="K22" s="18"/>
      <c r="L22" s="17"/>
      <c r="M22" s="18"/>
      <c r="N22" s="18"/>
      <c r="O22" s="18"/>
      <c r="P22" s="18"/>
      <c r="Q22" s="18"/>
      <c r="R22" s="18"/>
      <c r="S22" s="18"/>
      <c r="T22" s="18"/>
      <c r="U22" s="157"/>
      <c r="V22" s="18"/>
      <c r="W22" s="18"/>
    </row>
    <row r="23" spans="1:24" s="4" customFormat="1" x14ac:dyDescent="0.25">
      <c r="A23" s="60" t="s">
        <v>210</v>
      </c>
      <c r="B23" s="158"/>
      <c r="C23" s="16"/>
      <c r="D23" s="16"/>
      <c r="E23" s="16"/>
      <c r="F23" s="18"/>
      <c r="G23" s="18"/>
      <c r="H23" s="18"/>
      <c r="I23" s="18"/>
      <c r="J23" s="19"/>
      <c r="K23" s="18"/>
      <c r="L23" s="17"/>
      <c r="M23" s="18"/>
      <c r="N23" s="18"/>
      <c r="O23" s="18"/>
      <c r="P23" s="18"/>
      <c r="Q23" s="18"/>
      <c r="R23" s="18"/>
      <c r="S23" s="18"/>
      <c r="T23" s="18"/>
      <c r="U23" s="22"/>
      <c r="W23" s="21"/>
    </row>
    <row r="24" spans="1:24" s="4" customFormat="1" x14ac:dyDescent="0.25">
      <c r="A24" s="38" t="s">
        <v>25</v>
      </c>
      <c r="B24" s="68"/>
      <c r="C24" s="156"/>
      <c r="D24" s="156"/>
      <c r="E24" s="150"/>
      <c r="F24" s="17">
        <v>80000</v>
      </c>
      <c r="G24" s="18"/>
      <c r="H24" s="18">
        <v>0</v>
      </c>
      <c r="I24" s="18"/>
      <c r="J24" s="19">
        <f t="shared" ref="J24:J46" si="6">+F24+H24</f>
        <v>80000</v>
      </c>
      <c r="K24" s="18"/>
      <c r="L24" s="17">
        <v>23000</v>
      </c>
      <c r="M24" s="18">
        <v>24800</v>
      </c>
      <c r="N24" s="18">
        <v>6000</v>
      </c>
      <c r="O24" s="18">
        <v>4400</v>
      </c>
      <c r="P24" s="18">
        <v>3600</v>
      </c>
      <c r="Q24" s="18">
        <v>4800</v>
      </c>
      <c r="R24" s="18">
        <v>2400</v>
      </c>
      <c r="S24" s="18">
        <v>7000</v>
      </c>
      <c r="T24" s="18">
        <v>4000</v>
      </c>
      <c r="U24" s="23">
        <f>SUM(L24:T24)</f>
        <v>80000</v>
      </c>
      <c r="V24" s="39">
        <f t="shared" ref="V24:V35" si="7">J24-U24</f>
        <v>0</v>
      </c>
      <c r="W24" s="21">
        <v>80000</v>
      </c>
    </row>
    <row r="25" spans="1:24" s="4" customFormat="1" x14ac:dyDescent="0.25">
      <c r="A25" s="38" t="s">
        <v>26</v>
      </c>
      <c r="B25" s="68"/>
      <c r="C25" s="146"/>
      <c r="D25" s="146"/>
      <c r="E25" s="151"/>
      <c r="F25" s="17">
        <v>4125</v>
      </c>
      <c r="G25" s="18"/>
      <c r="H25" s="18">
        <v>0</v>
      </c>
      <c r="I25" s="18"/>
      <c r="J25" s="19">
        <f t="shared" si="6"/>
        <v>4125</v>
      </c>
      <c r="K25" s="18"/>
      <c r="L25" s="17">
        <f>+J25</f>
        <v>4125</v>
      </c>
      <c r="M25" s="18"/>
      <c r="N25" s="18"/>
      <c r="O25" s="18"/>
      <c r="P25" s="18"/>
      <c r="Q25" s="18"/>
      <c r="R25" s="18"/>
      <c r="S25" s="18"/>
      <c r="T25" s="18"/>
      <c r="U25" s="23">
        <f t="shared" ref="U25:U58" si="8">SUM(L25:T25)</f>
        <v>4125</v>
      </c>
      <c r="V25" s="39">
        <f t="shared" si="7"/>
        <v>0</v>
      </c>
      <c r="W25" s="21">
        <v>4125</v>
      </c>
    </row>
    <row r="26" spans="1:24" s="4" customFormat="1" x14ac:dyDescent="0.25">
      <c r="A26" s="38" t="s">
        <v>27</v>
      </c>
      <c r="B26" s="68"/>
      <c r="C26" s="146"/>
      <c r="D26" s="146"/>
      <c r="E26" s="151"/>
      <c r="F26" s="17">
        <v>9000</v>
      </c>
      <c r="G26" s="18"/>
      <c r="H26" s="18">
        <v>0</v>
      </c>
      <c r="I26" s="18"/>
      <c r="J26" s="19">
        <f t="shared" si="6"/>
        <v>9000</v>
      </c>
      <c r="K26" s="18"/>
      <c r="L26" s="17">
        <f t="shared" ref="L26:L48" si="9">+J26</f>
        <v>9000</v>
      </c>
      <c r="M26" s="18"/>
      <c r="N26" s="18"/>
      <c r="O26" s="18"/>
      <c r="P26" s="18"/>
      <c r="Q26" s="18"/>
      <c r="R26" s="18"/>
      <c r="S26" s="18"/>
      <c r="T26" s="18"/>
      <c r="U26" s="23">
        <f t="shared" si="8"/>
        <v>9000</v>
      </c>
      <c r="V26" s="39">
        <f t="shared" si="7"/>
        <v>0</v>
      </c>
      <c r="W26" s="21">
        <v>8500</v>
      </c>
    </row>
    <row r="27" spans="1:24" s="4" customFormat="1" x14ac:dyDescent="0.25">
      <c r="A27" s="38" t="s">
        <v>28</v>
      </c>
      <c r="B27" s="68"/>
      <c r="C27" s="146"/>
      <c r="D27" s="146"/>
      <c r="E27" s="151"/>
      <c r="F27" s="17">
        <v>6000</v>
      </c>
      <c r="G27" s="18"/>
      <c r="H27" s="18">
        <v>0</v>
      </c>
      <c r="I27" s="18"/>
      <c r="J27" s="19">
        <f t="shared" si="6"/>
        <v>6000</v>
      </c>
      <c r="K27" s="18"/>
      <c r="L27" s="17">
        <f t="shared" si="9"/>
        <v>6000</v>
      </c>
      <c r="M27" s="18"/>
      <c r="N27" s="18"/>
      <c r="O27" s="18"/>
      <c r="P27" s="18"/>
      <c r="Q27" s="18"/>
      <c r="R27" s="18"/>
      <c r="S27" s="18"/>
      <c r="T27" s="18"/>
      <c r="U27" s="23">
        <f t="shared" si="8"/>
        <v>6000</v>
      </c>
      <c r="V27" s="39">
        <f t="shared" si="7"/>
        <v>0</v>
      </c>
      <c r="W27" s="21">
        <v>5400</v>
      </c>
    </row>
    <row r="28" spans="1:24" s="4" customFormat="1" x14ac:dyDescent="0.25">
      <c r="A28" s="40" t="s">
        <v>29</v>
      </c>
      <c r="B28" s="69"/>
      <c r="C28" s="146"/>
      <c r="D28" s="146"/>
      <c r="E28" s="151"/>
      <c r="F28" s="17">
        <v>1181</v>
      </c>
      <c r="G28" s="18"/>
      <c r="H28" s="18">
        <v>0</v>
      </c>
      <c r="I28" s="18"/>
      <c r="J28" s="19">
        <f t="shared" si="6"/>
        <v>1181</v>
      </c>
      <c r="K28" s="18"/>
      <c r="L28" s="17">
        <f t="shared" si="9"/>
        <v>1181</v>
      </c>
      <c r="M28" s="18"/>
      <c r="N28" s="18"/>
      <c r="O28" s="18"/>
      <c r="P28" s="18"/>
      <c r="Q28" s="18"/>
      <c r="R28" s="18"/>
      <c r="S28" s="18"/>
      <c r="T28" s="18"/>
      <c r="U28" s="23">
        <f t="shared" si="8"/>
        <v>1181</v>
      </c>
      <c r="V28" s="39">
        <f t="shared" si="7"/>
        <v>0</v>
      </c>
      <c r="W28" s="21">
        <v>1181</v>
      </c>
    </row>
    <row r="29" spans="1:24" s="4" customFormat="1" x14ac:dyDescent="0.25">
      <c r="A29" s="40" t="s">
        <v>30</v>
      </c>
      <c r="B29" s="69"/>
      <c r="C29" s="146"/>
      <c r="D29" s="146"/>
      <c r="E29" s="151"/>
      <c r="F29" s="17">
        <v>2000</v>
      </c>
      <c r="G29" s="18"/>
      <c r="H29" s="18">
        <v>0</v>
      </c>
      <c r="I29" s="18"/>
      <c r="J29" s="19">
        <f t="shared" si="6"/>
        <v>2000</v>
      </c>
      <c r="K29" s="18"/>
      <c r="L29" s="17">
        <f t="shared" si="9"/>
        <v>2000</v>
      </c>
      <c r="M29" s="18"/>
      <c r="N29" s="18"/>
      <c r="O29" s="18"/>
      <c r="P29" s="18"/>
      <c r="Q29" s="18"/>
      <c r="R29" s="18"/>
      <c r="S29" s="18"/>
      <c r="T29" s="18"/>
      <c r="U29" s="23">
        <f t="shared" si="8"/>
        <v>2000</v>
      </c>
      <c r="V29" s="39">
        <f t="shared" si="7"/>
        <v>0</v>
      </c>
      <c r="W29" s="21">
        <v>2000</v>
      </c>
    </row>
    <row r="30" spans="1:24" s="4" customFormat="1" x14ac:dyDescent="0.25">
      <c r="A30" s="40" t="s">
        <v>31</v>
      </c>
      <c r="B30" s="69"/>
      <c r="C30" s="146"/>
      <c r="D30" s="146"/>
      <c r="E30" s="151"/>
      <c r="F30" s="17">
        <v>23000</v>
      </c>
      <c r="G30" s="18"/>
      <c r="H30" s="18">
        <v>-16000</v>
      </c>
      <c r="I30" s="18"/>
      <c r="J30" s="19">
        <f t="shared" si="6"/>
        <v>7000</v>
      </c>
      <c r="K30" s="18"/>
      <c r="L30" s="17">
        <f t="shared" si="9"/>
        <v>7000</v>
      </c>
      <c r="M30" s="18"/>
      <c r="N30" s="18"/>
      <c r="O30" s="18"/>
      <c r="P30" s="18"/>
      <c r="Q30" s="18"/>
      <c r="R30" s="18"/>
      <c r="S30" s="18"/>
      <c r="T30" s="18"/>
      <c r="U30" s="23">
        <f t="shared" si="8"/>
        <v>7000</v>
      </c>
      <c r="V30" s="39">
        <f t="shared" si="7"/>
        <v>0</v>
      </c>
      <c r="W30" s="21">
        <v>20000</v>
      </c>
    </row>
    <row r="31" spans="1:24" s="4" customFormat="1" x14ac:dyDescent="0.25">
      <c r="A31" s="164" t="s">
        <v>242</v>
      </c>
      <c r="B31" s="69"/>
      <c r="C31" s="146"/>
      <c r="D31" s="146"/>
      <c r="E31" s="151"/>
      <c r="F31" s="17">
        <v>0</v>
      </c>
      <c r="G31" s="18"/>
      <c r="H31" s="18">
        <v>-7000</v>
      </c>
      <c r="I31" s="18"/>
      <c r="J31" s="19">
        <f t="shared" si="6"/>
        <v>-7000</v>
      </c>
      <c r="K31" s="18"/>
      <c r="L31" s="17">
        <f t="shared" si="9"/>
        <v>-7000</v>
      </c>
      <c r="M31" s="18"/>
      <c r="N31" s="18"/>
      <c r="O31" s="18"/>
      <c r="P31" s="18"/>
      <c r="Q31" s="18"/>
      <c r="R31" s="18"/>
      <c r="S31" s="18"/>
      <c r="T31" s="18"/>
      <c r="U31" s="23">
        <f t="shared" si="8"/>
        <v>-7000</v>
      </c>
      <c r="V31" s="39"/>
      <c r="W31" s="21"/>
    </row>
    <row r="32" spans="1:24" s="4" customFormat="1" x14ac:dyDescent="0.25">
      <c r="A32" s="40" t="s">
        <v>32</v>
      </c>
      <c r="B32" s="69"/>
      <c r="C32" s="146"/>
      <c r="D32" s="146"/>
      <c r="E32" s="151"/>
      <c r="F32" s="17">
        <v>2500</v>
      </c>
      <c r="G32" s="18"/>
      <c r="H32" s="18">
        <v>0</v>
      </c>
      <c r="I32" s="18"/>
      <c r="J32" s="19">
        <f t="shared" si="6"/>
        <v>2500</v>
      </c>
      <c r="K32" s="18"/>
      <c r="L32" s="17">
        <f t="shared" si="9"/>
        <v>2500</v>
      </c>
      <c r="M32" s="18"/>
      <c r="N32" s="18"/>
      <c r="O32" s="18"/>
      <c r="P32" s="18"/>
      <c r="Q32" s="18"/>
      <c r="R32" s="18"/>
      <c r="S32" s="18"/>
      <c r="T32" s="18"/>
      <c r="U32" s="23">
        <f t="shared" si="8"/>
        <v>2500</v>
      </c>
      <c r="V32" s="39">
        <f t="shared" si="7"/>
        <v>0</v>
      </c>
      <c r="W32" s="21">
        <v>2500</v>
      </c>
    </row>
    <row r="33" spans="1:24" s="4" customFormat="1" x14ac:dyDescent="0.25">
      <c r="A33" s="40" t="s">
        <v>34</v>
      </c>
      <c r="B33" s="69"/>
      <c r="C33" s="146"/>
      <c r="D33" s="146"/>
      <c r="E33" s="151"/>
      <c r="F33" s="17">
        <v>15000</v>
      </c>
      <c r="G33" s="18"/>
      <c r="H33" s="18">
        <v>0</v>
      </c>
      <c r="I33" s="18"/>
      <c r="J33" s="19">
        <f>+F33+H33</f>
        <v>15000</v>
      </c>
      <c r="K33" s="18"/>
      <c r="L33" s="17">
        <f t="shared" si="9"/>
        <v>15000</v>
      </c>
      <c r="M33" s="18"/>
      <c r="N33" s="18"/>
      <c r="O33" s="18"/>
      <c r="P33" s="18"/>
      <c r="Q33" s="18"/>
      <c r="R33" s="18"/>
      <c r="S33" s="18"/>
      <c r="T33" s="18"/>
      <c r="U33" s="23">
        <f>SUM(L33:T33)</f>
        <v>15000</v>
      </c>
      <c r="V33" s="39">
        <f>J33-U33</f>
        <v>0</v>
      </c>
      <c r="W33" s="21">
        <v>10000</v>
      </c>
    </row>
    <row r="34" spans="1:24" s="4" customFormat="1" x14ac:dyDescent="0.25">
      <c r="A34" s="40" t="s">
        <v>35</v>
      </c>
      <c r="B34" s="69"/>
      <c r="C34" s="146"/>
      <c r="D34" s="146"/>
      <c r="E34" s="151"/>
      <c r="F34" s="17">
        <v>25000</v>
      </c>
      <c r="G34" s="18"/>
      <c r="H34" s="18">
        <f>13000+8230</f>
        <v>21230</v>
      </c>
      <c r="I34" s="18"/>
      <c r="J34" s="19">
        <f t="shared" si="6"/>
        <v>46230</v>
      </c>
      <c r="K34" s="18"/>
      <c r="L34" s="17">
        <f t="shared" si="9"/>
        <v>46230</v>
      </c>
      <c r="M34" s="18"/>
      <c r="N34" s="18"/>
      <c r="O34" s="18"/>
      <c r="P34" s="18"/>
      <c r="Q34" s="18"/>
      <c r="R34" s="18"/>
      <c r="S34" s="18"/>
      <c r="T34" s="18"/>
      <c r="U34" s="23">
        <f t="shared" si="8"/>
        <v>46230</v>
      </c>
      <c r="V34" s="39">
        <f t="shared" si="7"/>
        <v>0</v>
      </c>
      <c r="W34" s="21">
        <v>20000</v>
      </c>
    </row>
    <row r="35" spans="1:24" s="4" customFormat="1" hidden="1" x14ac:dyDescent="0.25">
      <c r="A35" s="40" t="s">
        <v>36</v>
      </c>
      <c r="B35" s="69"/>
      <c r="C35" s="146"/>
      <c r="D35" s="146"/>
      <c r="E35" s="151"/>
      <c r="F35" s="17">
        <v>0</v>
      </c>
      <c r="G35" s="18"/>
      <c r="H35" s="18">
        <v>0</v>
      </c>
      <c r="I35" s="18"/>
      <c r="J35" s="19">
        <f t="shared" si="6"/>
        <v>0</v>
      </c>
      <c r="K35" s="18"/>
      <c r="L35" s="17">
        <f t="shared" si="9"/>
        <v>0</v>
      </c>
      <c r="M35" s="18"/>
      <c r="N35" s="18"/>
      <c r="O35" s="18"/>
      <c r="P35" s="18"/>
      <c r="Q35" s="18"/>
      <c r="R35" s="18"/>
      <c r="S35" s="18">
        <v>0</v>
      </c>
      <c r="T35" s="18"/>
      <c r="U35" s="23">
        <f t="shared" si="8"/>
        <v>0</v>
      </c>
      <c r="V35" s="39">
        <f t="shared" si="7"/>
        <v>0</v>
      </c>
      <c r="W35" s="21"/>
    </row>
    <row r="36" spans="1:24" s="4" customFormat="1" hidden="1" x14ac:dyDescent="0.25">
      <c r="A36" s="41" t="s">
        <v>37</v>
      </c>
      <c r="B36" s="70"/>
      <c r="C36" s="146"/>
      <c r="D36" s="146"/>
      <c r="E36" s="151"/>
      <c r="F36" s="17">
        <v>0</v>
      </c>
      <c r="G36" s="18"/>
      <c r="H36" s="18">
        <v>0</v>
      </c>
      <c r="I36" s="18"/>
      <c r="J36" s="19">
        <f t="shared" si="6"/>
        <v>0</v>
      </c>
      <c r="K36" s="18"/>
      <c r="L36" s="17">
        <f t="shared" si="9"/>
        <v>0</v>
      </c>
      <c r="M36" s="18"/>
      <c r="N36" s="18"/>
      <c r="O36" s="18"/>
      <c r="P36" s="18"/>
      <c r="Q36" s="18"/>
      <c r="R36" s="18"/>
      <c r="S36" s="18"/>
      <c r="T36" s="18"/>
      <c r="U36" s="23">
        <f t="shared" si="8"/>
        <v>0</v>
      </c>
      <c r="V36" s="39"/>
      <c r="W36" s="21"/>
    </row>
    <row r="37" spans="1:24" s="4" customFormat="1" hidden="1" x14ac:dyDescent="0.25">
      <c r="A37" s="41" t="s">
        <v>38</v>
      </c>
      <c r="B37" s="70"/>
      <c r="C37" s="146"/>
      <c r="D37" s="146"/>
      <c r="E37" s="151"/>
      <c r="F37" s="17">
        <v>0</v>
      </c>
      <c r="G37" s="18"/>
      <c r="H37" s="18">
        <v>0</v>
      </c>
      <c r="I37" s="18"/>
      <c r="J37" s="19">
        <f t="shared" si="6"/>
        <v>0</v>
      </c>
      <c r="K37" s="18"/>
      <c r="L37" s="17">
        <f t="shared" si="9"/>
        <v>0</v>
      </c>
      <c r="M37" s="18">
        <v>0</v>
      </c>
      <c r="N37" s="18">
        <v>0</v>
      </c>
      <c r="O37" s="18"/>
      <c r="P37" s="18"/>
      <c r="Q37" s="18"/>
      <c r="R37" s="18"/>
      <c r="S37" s="18"/>
      <c r="T37" s="18"/>
      <c r="U37" s="23">
        <f t="shared" si="8"/>
        <v>0</v>
      </c>
      <c r="V37" s="39"/>
      <c r="W37" s="21"/>
    </row>
    <row r="38" spans="1:24" s="4" customFormat="1" x14ac:dyDescent="0.25">
      <c r="A38" s="41" t="s">
        <v>33</v>
      </c>
      <c r="B38" s="70"/>
      <c r="C38" s="146"/>
      <c r="D38" s="146"/>
      <c r="E38" s="151"/>
      <c r="F38" s="17">
        <v>1200</v>
      </c>
      <c r="G38" s="18"/>
      <c r="H38" s="18">
        <v>0</v>
      </c>
      <c r="I38" s="18"/>
      <c r="J38" s="19">
        <f>+F38+H38</f>
        <v>1200</v>
      </c>
      <c r="K38" s="18"/>
      <c r="L38" s="17">
        <f t="shared" si="9"/>
        <v>1200</v>
      </c>
      <c r="M38" s="18"/>
      <c r="N38" s="18"/>
      <c r="O38" s="18"/>
      <c r="P38" s="18"/>
      <c r="Q38" s="18"/>
      <c r="R38" s="18"/>
      <c r="S38" s="18"/>
      <c r="T38" s="18"/>
      <c r="U38" s="23">
        <f>SUM(L38:T38)</f>
        <v>1200</v>
      </c>
      <c r="V38" s="39">
        <f>J38-U38</f>
        <v>0</v>
      </c>
      <c r="W38" s="21">
        <v>1000</v>
      </c>
    </row>
    <row r="39" spans="1:24" s="4" customFormat="1" x14ac:dyDescent="0.25">
      <c r="A39" s="40" t="s">
        <v>185</v>
      </c>
      <c r="B39" s="69"/>
      <c r="C39" s="146"/>
      <c r="D39" s="146"/>
      <c r="E39" s="151"/>
      <c r="F39" s="17">
        <v>40000</v>
      </c>
      <c r="G39" s="18"/>
      <c r="H39" s="18">
        <v>11112</v>
      </c>
      <c r="I39" s="18"/>
      <c r="J39" s="19">
        <f t="shared" si="6"/>
        <v>51112</v>
      </c>
      <c r="K39" s="18"/>
      <c r="L39" s="17">
        <f t="shared" si="9"/>
        <v>51112</v>
      </c>
      <c r="M39" s="18"/>
      <c r="N39" s="18"/>
      <c r="O39" s="18"/>
      <c r="P39" s="18"/>
      <c r="Q39" s="18"/>
      <c r="R39" s="18"/>
      <c r="S39" s="18"/>
      <c r="T39" s="18"/>
      <c r="U39" s="23">
        <f t="shared" si="8"/>
        <v>51112</v>
      </c>
      <c r="V39" s="39">
        <f>J39-U39</f>
        <v>0</v>
      </c>
      <c r="W39" s="21">
        <v>40000</v>
      </c>
    </row>
    <row r="40" spans="1:24" s="4" customFormat="1" x14ac:dyDescent="0.25">
      <c r="A40" s="40" t="s">
        <v>39</v>
      </c>
      <c r="B40" s="69"/>
      <c r="C40" s="146"/>
      <c r="D40" s="146"/>
      <c r="E40" s="151"/>
      <c r="F40" s="17">
        <v>5000</v>
      </c>
      <c r="G40" s="18"/>
      <c r="H40" s="18">
        <v>7000</v>
      </c>
      <c r="I40" s="18"/>
      <c r="J40" s="19">
        <f t="shared" si="6"/>
        <v>12000</v>
      </c>
      <c r="K40" s="18"/>
      <c r="L40" s="17">
        <f t="shared" si="9"/>
        <v>12000</v>
      </c>
      <c r="M40" s="18"/>
      <c r="N40" s="18"/>
      <c r="O40" s="18"/>
      <c r="P40" s="18"/>
      <c r="Q40" s="18"/>
      <c r="R40" s="18"/>
      <c r="S40" s="18"/>
      <c r="T40" s="18"/>
      <c r="U40" s="23">
        <f t="shared" si="8"/>
        <v>12000</v>
      </c>
      <c r="V40" s="39"/>
      <c r="W40" s="21">
        <v>5000</v>
      </c>
    </row>
    <row r="41" spans="1:24" s="4" customFormat="1" hidden="1" x14ac:dyDescent="0.25">
      <c r="A41" s="40" t="s">
        <v>40</v>
      </c>
      <c r="B41" s="69"/>
      <c r="C41" s="146"/>
      <c r="D41" s="146"/>
      <c r="E41" s="151"/>
      <c r="F41" s="17">
        <v>0</v>
      </c>
      <c r="G41" s="18"/>
      <c r="H41" s="18">
        <v>0</v>
      </c>
      <c r="I41" s="18"/>
      <c r="J41" s="19">
        <f t="shared" si="6"/>
        <v>0</v>
      </c>
      <c r="K41" s="18"/>
      <c r="L41" s="17">
        <f t="shared" si="9"/>
        <v>0</v>
      </c>
      <c r="M41" s="18"/>
      <c r="N41" s="18"/>
      <c r="O41" s="18"/>
      <c r="P41" s="18"/>
      <c r="Q41" s="18"/>
      <c r="R41" s="18"/>
      <c r="S41" s="18">
        <v>0</v>
      </c>
      <c r="T41" s="18"/>
      <c r="U41" s="23">
        <f t="shared" si="8"/>
        <v>0</v>
      </c>
      <c r="V41" s="39"/>
      <c r="W41" s="21">
        <v>5000</v>
      </c>
    </row>
    <row r="42" spans="1:24" s="4" customFormat="1" x14ac:dyDescent="0.25">
      <c r="A42" s="40" t="s">
        <v>41</v>
      </c>
      <c r="B42" s="69"/>
      <c r="C42" s="146"/>
      <c r="D42" s="146"/>
      <c r="E42" s="151"/>
      <c r="F42" s="17">
        <v>3000</v>
      </c>
      <c r="G42" s="18"/>
      <c r="H42" s="18">
        <v>0</v>
      </c>
      <c r="I42" s="18"/>
      <c r="J42" s="19">
        <f>+F42+H42</f>
        <v>3000</v>
      </c>
      <c r="K42" s="18"/>
      <c r="L42" s="17">
        <f t="shared" si="9"/>
        <v>3000</v>
      </c>
      <c r="M42" s="18"/>
      <c r="N42" s="18"/>
      <c r="O42" s="18"/>
      <c r="P42" s="18"/>
      <c r="Q42" s="18"/>
      <c r="R42" s="18"/>
      <c r="S42" s="18"/>
      <c r="T42" s="18"/>
      <c r="U42" s="23">
        <f>SUM(L42:T42)</f>
        <v>3000</v>
      </c>
      <c r="V42" s="39">
        <f>J42-U42</f>
        <v>0</v>
      </c>
      <c r="W42" s="21">
        <v>5000</v>
      </c>
    </row>
    <row r="43" spans="1:24" s="4" customFormat="1" x14ac:dyDescent="0.25">
      <c r="A43" s="40" t="s">
        <v>42</v>
      </c>
      <c r="B43" s="69"/>
      <c r="C43" s="146"/>
      <c r="D43" s="146"/>
      <c r="E43" s="151"/>
      <c r="F43" s="17">
        <v>5000</v>
      </c>
      <c r="G43" s="18"/>
      <c r="H43" s="18">
        <v>0</v>
      </c>
      <c r="I43" s="18"/>
      <c r="J43" s="19">
        <f>+F43+H43</f>
        <v>5000</v>
      </c>
      <c r="K43" s="18"/>
      <c r="L43" s="17">
        <f t="shared" si="9"/>
        <v>5000</v>
      </c>
      <c r="M43" s="18"/>
      <c r="N43" s="18"/>
      <c r="O43" s="18"/>
      <c r="P43" s="18"/>
      <c r="Q43" s="18"/>
      <c r="R43" s="18"/>
      <c r="S43" s="18"/>
      <c r="T43" s="18"/>
      <c r="U43" s="23">
        <f>SUM(L43:T43)</f>
        <v>5000</v>
      </c>
      <c r="V43" s="39">
        <f>J43-U43</f>
        <v>0</v>
      </c>
      <c r="W43" s="21">
        <v>5000</v>
      </c>
    </row>
    <row r="44" spans="1:24" s="4" customFormat="1" x14ac:dyDescent="0.25">
      <c r="A44" s="40" t="s">
        <v>43</v>
      </c>
      <c r="B44" s="69"/>
      <c r="C44" s="146"/>
      <c r="D44" s="146"/>
      <c r="E44" s="151"/>
      <c r="F44" s="17">
        <v>5000</v>
      </c>
      <c r="G44" s="18"/>
      <c r="H44" s="18">
        <v>0</v>
      </c>
      <c r="I44" s="18"/>
      <c r="J44" s="19">
        <f>+F44+H44</f>
        <v>5000</v>
      </c>
      <c r="K44" s="18"/>
      <c r="L44" s="17">
        <f t="shared" si="9"/>
        <v>5000</v>
      </c>
      <c r="M44" s="18"/>
      <c r="N44" s="18"/>
      <c r="O44" s="18"/>
      <c r="P44" s="18"/>
      <c r="Q44" s="18"/>
      <c r="R44" s="18"/>
      <c r="S44" s="18"/>
      <c r="T44" s="18"/>
      <c r="U44" s="23">
        <f>SUM(L44:T44)</f>
        <v>5000</v>
      </c>
      <c r="V44" s="39">
        <f>J44-U44</f>
        <v>0</v>
      </c>
      <c r="W44" s="21">
        <v>15000</v>
      </c>
    </row>
    <row r="45" spans="1:24" s="4" customFormat="1" x14ac:dyDescent="0.25">
      <c r="A45" s="42" t="s">
        <v>44</v>
      </c>
      <c r="B45" s="71"/>
      <c r="C45" s="147"/>
      <c r="D45" s="146"/>
      <c r="E45" s="151"/>
      <c r="F45" s="17">
        <v>8000</v>
      </c>
      <c r="G45" s="18"/>
      <c r="H45" s="18">
        <v>0</v>
      </c>
      <c r="I45" s="18"/>
      <c r="J45" s="19">
        <f>+F45+H45</f>
        <v>8000</v>
      </c>
      <c r="K45" s="18"/>
      <c r="L45" s="17">
        <f t="shared" si="9"/>
        <v>8000</v>
      </c>
      <c r="M45" s="18"/>
      <c r="N45" s="18"/>
      <c r="O45" s="18"/>
      <c r="P45" s="18"/>
      <c r="Q45" s="18"/>
      <c r="R45" s="18"/>
      <c r="S45" s="18"/>
      <c r="T45" s="18"/>
      <c r="U45" s="19">
        <f>SUM(L45:T45)</f>
        <v>8000</v>
      </c>
      <c r="V45" s="39">
        <f>J45-U45</f>
        <v>0</v>
      </c>
      <c r="W45" s="21">
        <v>10000</v>
      </c>
      <c r="X45" s="24"/>
    </row>
    <row r="46" spans="1:24" s="4" customFormat="1" x14ac:dyDescent="0.25">
      <c r="A46" s="40" t="s">
        <v>50</v>
      </c>
      <c r="B46" s="69">
        <v>43276</v>
      </c>
      <c r="C46" s="147"/>
      <c r="D46" s="146"/>
      <c r="E46" s="151"/>
      <c r="F46" s="17">
        <v>0</v>
      </c>
      <c r="G46" s="18"/>
      <c r="H46" s="18">
        <v>3000</v>
      </c>
      <c r="I46" s="18"/>
      <c r="J46" s="19">
        <f t="shared" si="6"/>
        <v>3000</v>
      </c>
      <c r="K46" s="18"/>
      <c r="L46" s="17">
        <f t="shared" si="9"/>
        <v>3000</v>
      </c>
      <c r="M46" s="18"/>
      <c r="N46" s="18"/>
      <c r="O46" s="18"/>
      <c r="P46" s="18"/>
      <c r="Q46" s="18"/>
      <c r="R46" s="18"/>
      <c r="S46" s="18"/>
      <c r="T46" s="18"/>
      <c r="U46" s="19">
        <f t="shared" si="8"/>
        <v>3000</v>
      </c>
      <c r="V46" s="39">
        <f t="shared" ref="V46:V62" si="10">J46-U46</f>
        <v>0</v>
      </c>
      <c r="W46" s="21">
        <v>0</v>
      </c>
    </row>
    <row r="47" spans="1:24" s="4" customFormat="1" x14ac:dyDescent="0.25">
      <c r="A47" s="40" t="s">
        <v>51</v>
      </c>
      <c r="B47" s="69">
        <v>43276</v>
      </c>
      <c r="C47" s="147"/>
      <c r="D47" s="146"/>
      <c r="E47" s="151"/>
      <c r="F47" s="17">
        <v>0</v>
      </c>
      <c r="G47" s="18"/>
      <c r="H47" s="18">
        <v>2000</v>
      </c>
      <c r="I47" s="18"/>
      <c r="J47" s="19">
        <f>+H47+F47</f>
        <v>2000</v>
      </c>
      <c r="K47" s="18"/>
      <c r="L47" s="17">
        <f t="shared" si="9"/>
        <v>2000</v>
      </c>
      <c r="M47" s="18"/>
      <c r="N47" s="18"/>
      <c r="O47" s="18"/>
      <c r="P47" s="18"/>
      <c r="Q47" s="18"/>
      <c r="R47" s="18"/>
      <c r="S47" s="18"/>
      <c r="T47" s="18"/>
      <c r="U47" s="19">
        <f t="shared" si="8"/>
        <v>2000</v>
      </c>
      <c r="V47" s="39"/>
      <c r="W47" s="21">
        <v>0</v>
      </c>
    </row>
    <row r="48" spans="1:24" s="4" customFormat="1" x14ac:dyDescent="0.25">
      <c r="A48" s="164" t="s">
        <v>242</v>
      </c>
      <c r="B48" s="69"/>
      <c r="C48" s="147"/>
      <c r="D48" s="146"/>
      <c r="E48" s="151"/>
      <c r="F48" s="17"/>
      <c r="G48" s="18"/>
      <c r="H48" s="18">
        <v>-2000</v>
      </c>
      <c r="I48" s="18"/>
      <c r="J48" s="19">
        <f>+H48+F48</f>
        <v>-2000</v>
      </c>
      <c r="K48" s="18"/>
      <c r="L48" s="17">
        <f t="shared" si="9"/>
        <v>-2000</v>
      </c>
      <c r="M48" s="18"/>
      <c r="N48" s="18"/>
      <c r="O48" s="18"/>
      <c r="P48" s="18"/>
      <c r="Q48" s="18"/>
      <c r="R48" s="18"/>
      <c r="S48" s="18"/>
      <c r="T48" s="18"/>
      <c r="U48" s="19">
        <f t="shared" si="8"/>
        <v>-2000</v>
      </c>
      <c r="V48" s="39"/>
      <c r="W48" s="21"/>
    </row>
    <row r="49" spans="1:24" s="4" customFormat="1" x14ac:dyDescent="0.25">
      <c r="A49" s="40" t="s">
        <v>174</v>
      </c>
      <c r="B49" s="69"/>
      <c r="C49" s="147"/>
      <c r="D49" s="146"/>
      <c r="E49" s="151"/>
      <c r="F49" s="17">
        <v>0</v>
      </c>
      <c r="G49" s="18"/>
      <c r="H49" s="18">
        <v>840</v>
      </c>
      <c r="I49" s="18"/>
      <c r="J49" s="19">
        <f>+H49+F49</f>
        <v>840</v>
      </c>
      <c r="K49" s="18"/>
      <c r="L49" s="17">
        <v>840</v>
      </c>
      <c r="M49" s="18"/>
      <c r="N49" s="18"/>
      <c r="O49" s="18"/>
      <c r="P49" s="18"/>
      <c r="Q49" s="18"/>
      <c r="R49" s="18"/>
      <c r="S49" s="18"/>
      <c r="T49" s="18"/>
      <c r="U49" s="19">
        <f t="shared" si="8"/>
        <v>840</v>
      </c>
      <c r="V49" s="39"/>
      <c r="W49" s="21">
        <v>0</v>
      </c>
    </row>
    <row r="50" spans="1:24" s="4" customFormat="1" x14ac:dyDescent="0.25">
      <c r="A50" s="40" t="s">
        <v>186</v>
      </c>
      <c r="B50" s="69"/>
      <c r="C50" s="147"/>
      <c r="D50" s="146"/>
      <c r="E50" s="151"/>
      <c r="F50" s="17">
        <v>0</v>
      </c>
      <c r="G50" s="18"/>
      <c r="H50" s="18">
        <v>8000</v>
      </c>
      <c r="I50" s="18"/>
      <c r="J50" s="19">
        <f>+H50+F50</f>
        <v>8000</v>
      </c>
      <c r="K50" s="18"/>
      <c r="L50" s="17">
        <f t="shared" ref="L50:L61" si="11">+J50</f>
        <v>8000</v>
      </c>
      <c r="M50" s="18"/>
      <c r="N50" s="18"/>
      <c r="O50" s="18"/>
      <c r="P50" s="18"/>
      <c r="Q50" s="18"/>
      <c r="R50" s="18"/>
      <c r="S50" s="18"/>
      <c r="T50" s="18"/>
      <c r="U50" s="19">
        <f t="shared" si="8"/>
        <v>8000</v>
      </c>
      <c r="V50" s="39"/>
      <c r="W50" s="21">
        <v>0</v>
      </c>
    </row>
    <row r="51" spans="1:24" s="4" customFormat="1" x14ac:dyDescent="0.25">
      <c r="A51" s="40" t="s">
        <v>187</v>
      </c>
      <c r="B51" s="69"/>
      <c r="C51" s="147"/>
      <c r="D51" s="146"/>
      <c r="E51" s="151"/>
      <c r="F51" s="17">
        <v>0</v>
      </c>
      <c r="G51" s="18"/>
      <c r="H51" s="18">
        <v>4500</v>
      </c>
      <c r="I51" s="18"/>
      <c r="J51" s="19">
        <f>+H51+F51</f>
        <v>4500</v>
      </c>
      <c r="K51" s="18"/>
      <c r="L51" s="17">
        <f t="shared" si="11"/>
        <v>4500</v>
      </c>
      <c r="M51" s="18"/>
      <c r="N51" s="18"/>
      <c r="O51" s="18"/>
      <c r="P51" s="18"/>
      <c r="Q51" s="18"/>
      <c r="R51" s="18"/>
      <c r="S51" s="18"/>
      <c r="T51" s="18"/>
      <c r="U51" s="19">
        <f t="shared" si="8"/>
        <v>4500</v>
      </c>
      <c r="V51" s="39"/>
      <c r="W51" s="21">
        <v>0</v>
      </c>
    </row>
    <row r="52" spans="1:24" s="4" customFormat="1" x14ac:dyDescent="0.25">
      <c r="A52" s="93" t="s">
        <v>190</v>
      </c>
      <c r="B52" s="69"/>
      <c r="C52" s="147"/>
      <c r="D52" s="146"/>
      <c r="E52" s="151"/>
      <c r="F52" s="17">
        <v>0</v>
      </c>
      <c r="G52" s="18"/>
      <c r="H52" s="18">
        <v>15000</v>
      </c>
      <c r="I52" s="18"/>
      <c r="J52" s="19">
        <f t="shared" ref="J52:J57" si="12">+F52+H52</f>
        <v>15000</v>
      </c>
      <c r="K52" s="18"/>
      <c r="L52" s="17">
        <f t="shared" si="11"/>
        <v>15000</v>
      </c>
      <c r="M52" s="18"/>
      <c r="N52" s="18"/>
      <c r="O52" s="18"/>
      <c r="P52" s="18"/>
      <c r="Q52" s="18"/>
      <c r="R52" s="18"/>
      <c r="S52" s="18"/>
      <c r="T52" s="18"/>
      <c r="U52" s="19">
        <f t="shared" ref="U52:U56" si="13">SUM(L52:T52)</f>
        <v>15000</v>
      </c>
      <c r="V52" s="39"/>
      <c r="W52" s="21">
        <v>0</v>
      </c>
    </row>
    <row r="53" spans="1:24" s="4" customFormat="1" x14ac:dyDescent="0.25">
      <c r="A53" s="93" t="s">
        <v>191</v>
      </c>
      <c r="B53" s="69"/>
      <c r="C53" s="147"/>
      <c r="D53" s="146"/>
      <c r="E53" s="151"/>
      <c r="F53" s="17">
        <v>0</v>
      </c>
      <c r="G53" s="18"/>
      <c r="H53" s="18">
        <v>5600</v>
      </c>
      <c r="I53" s="18"/>
      <c r="J53" s="19">
        <f t="shared" si="12"/>
        <v>5600</v>
      </c>
      <c r="K53" s="18"/>
      <c r="L53" s="17">
        <f t="shared" si="11"/>
        <v>5600</v>
      </c>
      <c r="M53" s="18"/>
      <c r="N53" s="18"/>
      <c r="O53" s="18"/>
      <c r="P53" s="18"/>
      <c r="Q53" s="18"/>
      <c r="R53" s="18"/>
      <c r="S53" s="18"/>
      <c r="T53" s="18"/>
      <c r="U53" s="19">
        <f t="shared" si="13"/>
        <v>5600</v>
      </c>
      <c r="V53" s="39"/>
      <c r="W53" s="21">
        <v>0</v>
      </c>
    </row>
    <row r="54" spans="1:24" s="4" customFormat="1" x14ac:dyDescent="0.25">
      <c r="A54" s="93" t="s">
        <v>194</v>
      </c>
      <c r="B54" s="69"/>
      <c r="C54" s="147"/>
      <c r="D54" s="146"/>
      <c r="E54" s="151"/>
      <c r="F54" s="17">
        <v>0</v>
      </c>
      <c r="G54" s="18"/>
      <c r="H54" s="18">
        <v>50000</v>
      </c>
      <c r="I54" s="18"/>
      <c r="J54" s="19">
        <f t="shared" si="12"/>
        <v>50000</v>
      </c>
      <c r="K54" s="18"/>
      <c r="L54" s="17">
        <f t="shared" si="11"/>
        <v>50000</v>
      </c>
      <c r="M54" s="18"/>
      <c r="N54" s="18"/>
      <c r="O54" s="18"/>
      <c r="P54" s="18"/>
      <c r="Q54" s="18"/>
      <c r="R54" s="18"/>
      <c r="S54" s="18"/>
      <c r="T54" s="18"/>
      <c r="U54" s="19">
        <f t="shared" si="13"/>
        <v>50000</v>
      </c>
      <c r="V54" s="39"/>
      <c r="W54" s="21">
        <v>0</v>
      </c>
    </row>
    <row r="55" spans="1:24" s="4" customFormat="1" x14ac:dyDescent="0.25">
      <c r="A55" s="164" t="s">
        <v>242</v>
      </c>
      <c r="B55" s="69"/>
      <c r="C55" s="147"/>
      <c r="D55" s="146"/>
      <c r="E55" s="151"/>
      <c r="F55" s="17"/>
      <c r="G55" s="18"/>
      <c r="H55" s="18">
        <v>-4973</v>
      </c>
      <c r="I55" s="18"/>
      <c r="J55" s="19">
        <f t="shared" si="12"/>
        <v>-4973</v>
      </c>
      <c r="K55" s="18"/>
      <c r="L55" s="17">
        <f t="shared" si="11"/>
        <v>-4973</v>
      </c>
      <c r="M55" s="18"/>
      <c r="N55" s="18"/>
      <c r="O55" s="18"/>
      <c r="P55" s="18"/>
      <c r="Q55" s="18"/>
      <c r="R55" s="18"/>
      <c r="S55" s="18"/>
      <c r="T55" s="18"/>
      <c r="U55" s="19">
        <f t="shared" si="13"/>
        <v>-4973</v>
      </c>
      <c r="V55" s="39"/>
      <c r="W55" s="21"/>
    </row>
    <row r="56" spans="1:24" s="4" customFormat="1" x14ac:dyDescent="0.25">
      <c r="A56" s="93" t="s">
        <v>195</v>
      </c>
      <c r="B56" s="69"/>
      <c r="C56" s="147"/>
      <c r="D56" s="146"/>
      <c r="E56" s="151"/>
      <c r="F56" s="17">
        <v>0</v>
      </c>
      <c r="G56" s="18"/>
      <c r="H56" s="18">
        <v>16000</v>
      </c>
      <c r="I56" s="18"/>
      <c r="J56" s="19">
        <f t="shared" si="12"/>
        <v>16000</v>
      </c>
      <c r="K56" s="18"/>
      <c r="L56" s="17">
        <f t="shared" ref="L56" si="14">+J56</f>
        <v>16000</v>
      </c>
      <c r="M56" s="18"/>
      <c r="N56" s="18"/>
      <c r="O56" s="18"/>
      <c r="P56" s="18"/>
      <c r="Q56" s="18"/>
      <c r="R56" s="18"/>
      <c r="S56" s="18"/>
      <c r="T56" s="18"/>
      <c r="U56" s="19">
        <f t="shared" si="13"/>
        <v>16000</v>
      </c>
      <c r="V56" s="39"/>
      <c r="W56" s="21">
        <v>0</v>
      </c>
    </row>
    <row r="57" spans="1:24" s="4" customFormat="1" x14ac:dyDescent="0.25">
      <c r="A57" s="93" t="s">
        <v>197</v>
      </c>
      <c r="B57" s="69"/>
      <c r="C57" s="147"/>
      <c r="D57" s="146"/>
      <c r="E57" s="151"/>
      <c r="F57" s="17">
        <v>0</v>
      </c>
      <c r="G57" s="18"/>
      <c r="H57" s="18">
        <v>1300</v>
      </c>
      <c r="I57" s="18"/>
      <c r="J57" s="19">
        <f t="shared" si="12"/>
        <v>1300</v>
      </c>
      <c r="K57" s="18"/>
      <c r="L57" s="17">
        <f t="shared" si="11"/>
        <v>1300</v>
      </c>
      <c r="M57" s="18"/>
      <c r="N57" s="18"/>
      <c r="O57" s="18"/>
      <c r="P57" s="18"/>
      <c r="Q57" s="18"/>
      <c r="R57" s="18"/>
      <c r="S57" s="18"/>
      <c r="T57" s="18"/>
      <c r="U57" s="19">
        <f t="shared" si="8"/>
        <v>1300</v>
      </c>
      <c r="V57" s="39"/>
      <c r="W57" s="21">
        <v>0</v>
      </c>
    </row>
    <row r="58" spans="1:24" s="4" customFormat="1" ht="15" customHeight="1" x14ac:dyDescent="0.25">
      <c r="A58" s="40" t="s">
        <v>198</v>
      </c>
      <c r="B58" s="69"/>
      <c r="C58" s="147"/>
      <c r="D58" s="146"/>
      <c r="E58" s="151"/>
      <c r="F58" s="17">
        <v>0</v>
      </c>
      <c r="G58" s="18"/>
      <c r="H58" s="18">
        <v>15000</v>
      </c>
      <c r="I58" s="18"/>
      <c r="J58" s="19">
        <f t="shared" ref="J58:J70" si="15">+F58+H58</f>
        <v>15000</v>
      </c>
      <c r="K58" s="18"/>
      <c r="L58" s="17">
        <f t="shared" si="11"/>
        <v>15000</v>
      </c>
      <c r="M58" s="18"/>
      <c r="N58" s="18"/>
      <c r="O58" s="18"/>
      <c r="P58" s="18"/>
      <c r="Q58" s="18"/>
      <c r="R58" s="18"/>
      <c r="S58" s="18"/>
      <c r="T58" s="18"/>
      <c r="U58" s="19">
        <f t="shared" si="8"/>
        <v>15000</v>
      </c>
      <c r="V58" s="39"/>
      <c r="W58" s="21">
        <v>0</v>
      </c>
    </row>
    <row r="59" spans="1:24" s="4" customFormat="1" x14ac:dyDescent="0.25">
      <c r="A59" s="40" t="s">
        <v>199</v>
      </c>
      <c r="B59" s="69"/>
      <c r="C59" s="146"/>
      <c r="D59" s="146"/>
      <c r="E59" s="151"/>
      <c r="F59" s="17">
        <v>0</v>
      </c>
      <c r="G59" s="18"/>
      <c r="H59" s="18">
        <v>13000</v>
      </c>
      <c r="I59" s="18"/>
      <c r="J59" s="19">
        <f t="shared" si="15"/>
        <v>13000</v>
      </c>
      <c r="K59" s="18"/>
      <c r="L59" s="17">
        <f t="shared" si="11"/>
        <v>13000</v>
      </c>
      <c r="M59" s="18"/>
      <c r="N59" s="18"/>
      <c r="O59" s="18"/>
      <c r="P59" s="18"/>
      <c r="Q59" s="18"/>
      <c r="R59" s="18"/>
      <c r="S59" s="18"/>
      <c r="T59" s="18"/>
      <c r="U59" s="23">
        <f t="shared" ref="U59:U64" si="16">SUM(L59:T59)</f>
        <v>13000</v>
      </c>
      <c r="V59" s="39">
        <f>J59-U59</f>
        <v>0</v>
      </c>
      <c r="W59" s="21">
        <v>10000</v>
      </c>
      <c r="X59" s="24"/>
    </row>
    <row r="60" spans="1:24" s="4" customFormat="1" x14ac:dyDescent="0.25">
      <c r="A60" s="40" t="s">
        <v>213</v>
      </c>
      <c r="B60" s="69"/>
      <c r="C60" s="146"/>
      <c r="D60" s="146"/>
      <c r="E60" s="151"/>
      <c r="F60" s="17">
        <v>0</v>
      </c>
      <c r="G60" s="18"/>
      <c r="H60" s="18">
        <v>15000</v>
      </c>
      <c r="I60" s="18"/>
      <c r="J60" s="19">
        <f t="shared" si="15"/>
        <v>15000</v>
      </c>
      <c r="K60" s="18"/>
      <c r="L60" s="17">
        <f t="shared" si="11"/>
        <v>15000</v>
      </c>
      <c r="M60" s="18"/>
      <c r="N60" s="18"/>
      <c r="O60" s="18"/>
      <c r="P60" s="18"/>
      <c r="Q60" s="18"/>
      <c r="R60" s="18"/>
      <c r="S60" s="18"/>
      <c r="T60" s="18"/>
      <c r="U60" s="23">
        <f t="shared" si="16"/>
        <v>15000</v>
      </c>
      <c r="V60" s="39"/>
      <c r="W60" s="21"/>
      <c r="X60" s="24"/>
    </row>
    <row r="61" spans="1:24" s="4" customFormat="1" x14ac:dyDescent="0.25">
      <c r="A61" s="164" t="s">
        <v>242</v>
      </c>
      <c r="B61" s="69"/>
      <c r="C61" s="146"/>
      <c r="D61" s="146"/>
      <c r="E61" s="151"/>
      <c r="F61" s="17"/>
      <c r="G61" s="18"/>
      <c r="H61" s="18">
        <v>-7500</v>
      </c>
      <c r="I61" s="18"/>
      <c r="J61" s="19">
        <f t="shared" si="15"/>
        <v>-7500</v>
      </c>
      <c r="K61" s="18"/>
      <c r="L61" s="17">
        <f t="shared" si="11"/>
        <v>-7500</v>
      </c>
      <c r="M61" s="18"/>
      <c r="N61" s="18"/>
      <c r="O61" s="18"/>
      <c r="P61" s="18"/>
      <c r="Q61" s="18"/>
      <c r="R61" s="18"/>
      <c r="S61" s="18"/>
      <c r="T61" s="18"/>
      <c r="U61" s="23">
        <f t="shared" si="16"/>
        <v>-7500</v>
      </c>
      <c r="V61" s="39"/>
      <c r="W61" s="21"/>
      <c r="X61" s="24"/>
    </row>
    <row r="62" spans="1:24" s="4" customFormat="1" x14ac:dyDescent="0.25">
      <c r="A62" s="40" t="s">
        <v>212</v>
      </c>
      <c r="B62" s="69"/>
      <c r="C62" s="146"/>
      <c r="D62" s="146"/>
      <c r="E62" s="151"/>
      <c r="F62" s="17">
        <v>0</v>
      </c>
      <c r="G62" s="18"/>
      <c r="H62" s="18">
        <v>2275</v>
      </c>
      <c r="I62" s="18"/>
      <c r="J62" s="19">
        <f t="shared" si="15"/>
        <v>2275</v>
      </c>
      <c r="K62" s="18"/>
      <c r="L62" s="17">
        <f>+H62</f>
        <v>2275</v>
      </c>
      <c r="M62" s="18"/>
      <c r="N62" s="18"/>
      <c r="O62" s="18"/>
      <c r="P62" s="18"/>
      <c r="Q62" s="18"/>
      <c r="R62" s="18"/>
      <c r="S62" s="18"/>
      <c r="T62" s="18"/>
      <c r="U62" s="23">
        <f t="shared" si="16"/>
        <v>2275</v>
      </c>
      <c r="V62" s="39">
        <f t="shared" si="10"/>
        <v>0</v>
      </c>
      <c r="W62" s="21">
        <v>0</v>
      </c>
    </row>
    <row r="63" spans="1:24" s="4" customFormat="1" x14ac:dyDescent="0.25">
      <c r="A63" s="40" t="s">
        <v>239</v>
      </c>
      <c r="B63" s="69"/>
      <c r="C63" s="146"/>
      <c r="D63" s="146"/>
      <c r="E63" s="151"/>
      <c r="F63" s="17"/>
      <c r="G63" s="18"/>
      <c r="H63" s="18">
        <v>16000</v>
      </c>
      <c r="I63" s="18"/>
      <c r="J63" s="19">
        <f t="shared" si="15"/>
        <v>16000</v>
      </c>
      <c r="K63" s="18"/>
      <c r="L63" s="17">
        <f>+H63</f>
        <v>16000</v>
      </c>
      <c r="M63" s="18"/>
      <c r="N63" s="18"/>
      <c r="O63" s="18"/>
      <c r="P63" s="18"/>
      <c r="Q63" s="18"/>
      <c r="R63" s="18"/>
      <c r="S63" s="18"/>
      <c r="T63" s="18"/>
      <c r="U63" s="23">
        <f t="shared" si="16"/>
        <v>16000</v>
      </c>
      <c r="V63" s="39"/>
      <c r="W63" s="21"/>
    </row>
    <row r="64" spans="1:24" s="4" customFormat="1" x14ac:dyDescent="0.25">
      <c r="A64" s="40" t="s">
        <v>239</v>
      </c>
      <c r="B64" s="69"/>
      <c r="C64" s="146"/>
      <c r="D64" s="146"/>
      <c r="E64" s="151"/>
      <c r="F64" s="17"/>
      <c r="G64" s="18"/>
      <c r="H64" s="18">
        <v>16444</v>
      </c>
      <c r="I64" s="18"/>
      <c r="J64" s="19">
        <f t="shared" si="15"/>
        <v>16444</v>
      </c>
      <c r="K64" s="18"/>
      <c r="L64" s="17">
        <f>+H64</f>
        <v>16444</v>
      </c>
      <c r="M64" s="18"/>
      <c r="N64" s="18"/>
      <c r="O64" s="18"/>
      <c r="P64" s="18"/>
      <c r="Q64" s="18"/>
      <c r="R64" s="18"/>
      <c r="S64" s="18"/>
      <c r="T64" s="18"/>
      <c r="U64" s="23">
        <f t="shared" si="16"/>
        <v>16444</v>
      </c>
      <c r="V64" s="39"/>
      <c r="W64" s="21"/>
    </row>
    <row r="65" spans="1:27" s="4" customFormat="1" x14ac:dyDescent="0.25">
      <c r="A65" s="40" t="s">
        <v>240</v>
      </c>
      <c r="B65" s="69"/>
      <c r="C65" s="146"/>
      <c r="D65" s="146"/>
      <c r="E65" s="151"/>
      <c r="F65" s="17"/>
      <c r="G65" s="18"/>
      <c r="H65" s="18">
        <v>15000</v>
      </c>
      <c r="I65" s="18"/>
      <c r="J65" s="19">
        <f t="shared" si="15"/>
        <v>15000</v>
      </c>
      <c r="K65" s="18"/>
      <c r="L65" s="17">
        <f t="shared" ref="L65:L70" si="17">+H65</f>
        <v>15000</v>
      </c>
      <c r="M65" s="18"/>
      <c r="N65" s="18"/>
      <c r="O65" s="18"/>
      <c r="P65" s="18"/>
      <c r="Q65" s="18"/>
      <c r="R65" s="18"/>
      <c r="S65" s="18"/>
      <c r="T65" s="18"/>
      <c r="U65" s="23">
        <f t="shared" ref="U65:U70" si="18">SUM(L65:T65)</f>
        <v>15000</v>
      </c>
      <c r="V65" s="39"/>
      <c r="W65" s="21"/>
    </row>
    <row r="66" spans="1:27" s="4" customFormat="1" x14ac:dyDescent="0.25">
      <c r="A66" s="40" t="s">
        <v>241</v>
      </c>
      <c r="B66" s="69"/>
      <c r="C66" s="146"/>
      <c r="D66" s="146"/>
      <c r="E66" s="151"/>
      <c r="F66" s="17"/>
      <c r="G66" s="18"/>
      <c r="H66" s="18">
        <v>3500</v>
      </c>
      <c r="I66" s="18"/>
      <c r="J66" s="19">
        <f t="shared" si="15"/>
        <v>3500</v>
      </c>
      <c r="K66" s="18"/>
      <c r="L66" s="17">
        <f t="shared" si="17"/>
        <v>3500</v>
      </c>
      <c r="M66" s="18"/>
      <c r="N66" s="18"/>
      <c r="O66" s="18"/>
      <c r="P66" s="18"/>
      <c r="Q66" s="18"/>
      <c r="R66" s="18"/>
      <c r="S66" s="18"/>
      <c r="T66" s="18"/>
      <c r="U66" s="23">
        <f t="shared" si="18"/>
        <v>3500</v>
      </c>
      <c r="V66" s="39"/>
      <c r="W66" s="21"/>
    </row>
    <row r="67" spans="1:27" s="4" customFormat="1" x14ac:dyDescent="0.25">
      <c r="A67" s="40" t="s">
        <v>260</v>
      </c>
      <c r="B67" s="69"/>
      <c r="C67" s="146"/>
      <c r="D67" s="146"/>
      <c r="E67" s="151"/>
      <c r="F67" s="17"/>
      <c r="G67" s="18"/>
      <c r="H67" s="18">
        <v>7400</v>
      </c>
      <c r="I67" s="18"/>
      <c r="J67" s="19">
        <f t="shared" si="15"/>
        <v>7400</v>
      </c>
      <c r="K67" s="18"/>
      <c r="L67" s="17">
        <f t="shared" si="17"/>
        <v>7400</v>
      </c>
      <c r="M67" s="18"/>
      <c r="N67" s="18"/>
      <c r="O67" s="18"/>
      <c r="P67" s="18"/>
      <c r="Q67" s="18"/>
      <c r="R67" s="18"/>
      <c r="S67" s="18"/>
      <c r="T67" s="18"/>
      <c r="U67" s="23">
        <f t="shared" si="18"/>
        <v>7400</v>
      </c>
      <c r="V67" s="39"/>
      <c r="W67" s="21"/>
    </row>
    <row r="68" spans="1:27" s="4" customFormat="1" x14ac:dyDescent="0.25">
      <c r="A68" s="93" t="s">
        <v>284</v>
      </c>
      <c r="B68" s="69"/>
      <c r="C68" s="146"/>
      <c r="D68" s="146"/>
      <c r="E68" s="151"/>
      <c r="F68" s="17"/>
      <c r="G68" s="18"/>
      <c r="H68" s="18">
        <v>13457</v>
      </c>
      <c r="I68" s="18"/>
      <c r="J68" s="19">
        <f t="shared" si="15"/>
        <v>13457</v>
      </c>
      <c r="K68" s="18"/>
      <c r="L68" s="17">
        <f t="shared" si="17"/>
        <v>13457</v>
      </c>
      <c r="M68" s="18"/>
      <c r="N68" s="18"/>
      <c r="O68" s="18"/>
      <c r="P68" s="18"/>
      <c r="Q68" s="18"/>
      <c r="R68" s="18"/>
      <c r="S68" s="18"/>
      <c r="T68" s="18"/>
      <c r="U68" s="23">
        <f t="shared" si="18"/>
        <v>13457</v>
      </c>
      <c r="V68" s="39"/>
      <c r="W68" s="21"/>
    </row>
    <row r="69" spans="1:27" s="4" customFormat="1" x14ac:dyDescent="0.25">
      <c r="A69" s="93" t="s">
        <v>286</v>
      </c>
      <c r="B69" s="69"/>
      <c r="C69" s="146"/>
      <c r="D69" s="146"/>
      <c r="E69" s="151"/>
      <c r="F69" s="17"/>
      <c r="G69" s="18"/>
      <c r="H69" s="18">
        <v>7500</v>
      </c>
      <c r="I69" s="18"/>
      <c r="J69" s="19">
        <f t="shared" si="15"/>
        <v>7500</v>
      </c>
      <c r="K69" s="18"/>
      <c r="L69" s="17">
        <f t="shared" si="17"/>
        <v>7500</v>
      </c>
      <c r="M69" s="18"/>
      <c r="N69" s="18"/>
      <c r="O69" s="18"/>
      <c r="P69" s="18"/>
      <c r="Q69" s="18"/>
      <c r="R69" s="18"/>
      <c r="S69" s="18"/>
      <c r="T69" s="18"/>
      <c r="U69" s="23">
        <f t="shared" si="18"/>
        <v>7500</v>
      </c>
      <c r="V69" s="39"/>
      <c r="W69" s="21"/>
    </row>
    <row r="70" spans="1:27" s="4" customFormat="1" x14ac:dyDescent="0.25">
      <c r="A70" s="93" t="s">
        <v>285</v>
      </c>
      <c r="B70" s="69"/>
      <c r="C70" s="146"/>
      <c r="D70" s="146"/>
      <c r="E70" s="151"/>
      <c r="F70" s="17"/>
      <c r="G70" s="18"/>
      <c r="H70" s="18">
        <v>3000</v>
      </c>
      <c r="I70" s="18"/>
      <c r="J70" s="19">
        <f t="shared" si="15"/>
        <v>3000</v>
      </c>
      <c r="K70" s="18"/>
      <c r="L70" s="17">
        <f t="shared" si="17"/>
        <v>3000</v>
      </c>
      <c r="M70" s="18"/>
      <c r="N70" s="18"/>
      <c r="O70" s="18"/>
      <c r="P70" s="18"/>
      <c r="Q70" s="18"/>
      <c r="R70" s="18"/>
      <c r="S70" s="18"/>
      <c r="T70" s="18"/>
      <c r="U70" s="23">
        <f t="shared" si="18"/>
        <v>3000</v>
      </c>
      <c r="V70" s="39"/>
      <c r="W70" s="21"/>
    </row>
    <row r="71" spans="1:27" s="4" customFormat="1" x14ac:dyDescent="0.25">
      <c r="A71" s="40" t="s">
        <v>45</v>
      </c>
      <c r="B71" s="69"/>
      <c r="C71" s="146"/>
      <c r="D71" s="146"/>
      <c r="E71" s="151"/>
      <c r="F71" s="26">
        <f>SUM(F24:F63)</f>
        <v>235006</v>
      </c>
      <c r="G71" s="27"/>
      <c r="H71" s="43">
        <f>SUM(H24:H70)</f>
        <v>235685</v>
      </c>
      <c r="I71" s="27"/>
      <c r="J71" s="28">
        <f>SUM(J24:J70)</f>
        <v>470691</v>
      </c>
      <c r="K71" s="27"/>
      <c r="L71" s="26">
        <f>SUM(L24:L70)</f>
        <v>413691</v>
      </c>
      <c r="M71" s="43">
        <f>+'Athletic Committee'!H35</f>
        <v>293534</v>
      </c>
      <c r="N71" s="27">
        <f>+'Child &amp; Family Center'!G13</f>
        <v>70305</v>
      </c>
      <c r="O71" s="27">
        <f>+'Studyaway Fund'!G36</f>
        <v>51977</v>
      </c>
      <c r="P71" s="27">
        <f>+'Game Room'!G20</f>
        <v>39840</v>
      </c>
      <c r="Q71" s="27">
        <f>+'YC Radio Station'!G23</f>
        <v>56244.25</v>
      </c>
      <c r="R71" s="27">
        <f>+APAF!H58</f>
        <v>28081</v>
      </c>
      <c r="S71" s="27">
        <f>+'Student Government'!G24</f>
        <v>167280</v>
      </c>
      <c r="T71" s="27">
        <f>+'Student Clubs'!H171</f>
        <v>74931.94</v>
      </c>
      <c r="U71" s="25">
        <f>SUM(U24:U70)</f>
        <v>470691</v>
      </c>
      <c r="V71" s="24">
        <f>SUM(V24:V62)</f>
        <v>0</v>
      </c>
      <c r="W71" s="31">
        <f>SUM(W24:W45)</f>
        <v>239706</v>
      </c>
      <c r="X71" s="24"/>
    </row>
    <row r="72" spans="1:27" s="4" customFormat="1" x14ac:dyDescent="0.25">
      <c r="A72" s="56" t="s">
        <v>204</v>
      </c>
      <c r="B72" s="72"/>
      <c r="C72" s="152"/>
      <c r="D72" s="148"/>
      <c r="E72" s="153"/>
      <c r="F72" s="57">
        <f>+F21-F71</f>
        <v>635636.5</v>
      </c>
      <c r="G72" s="58"/>
      <c r="H72" s="58">
        <f>+H21-H71</f>
        <v>95381.200000000012</v>
      </c>
      <c r="I72" s="58"/>
      <c r="J72" s="37">
        <f>+J21-J71</f>
        <v>731017.70000000019</v>
      </c>
      <c r="K72" s="59"/>
      <c r="L72" s="57">
        <f t="shared" ref="L72:T72" si="19">L21-L71</f>
        <v>1043.1499999999651</v>
      </c>
      <c r="M72" s="58">
        <f t="shared" si="19"/>
        <v>0</v>
      </c>
      <c r="N72" s="58">
        <f t="shared" si="19"/>
        <v>0</v>
      </c>
      <c r="O72" s="58">
        <f t="shared" si="19"/>
        <v>0</v>
      </c>
      <c r="P72" s="58">
        <f t="shared" si="19"/>
        <v>3943</v>
      </c>
      <c r="Q72" s="58">
        <f t="shared" si="19"/>
        <v>-0.25</v>
      </c>
      <c r="R72" s="58">
        <f t="shared" si="19"/>
        <v>41</v>
      </c>
      <c r="S72" s="58">
        <f t="shared" si="19"/>
        <v>0</v>
      </c>
      <c r="T72" s="58">
        <f t="shared" si="19"/>
        <v>798.05999999999767</v>
      </c>
      <c r="U72" s="37">
        <f>+U21-U71</f>
        <v>731018.14999999991</v>
      </c>
      <c r="V72" s="27">
        <f>V21-V71</f>
        <v>-0.44999999995343387</v>
      </c>
      <c r="W72" s="31">
        <f>+W21-W71</f>
        <v>562429</v>
      </c>
      <c r="X72" s="24"/>
      <c r="Y72" s="24">
        <f>+U72-J72</f>
        <v>0.44999999972060323</v>
      </c>
      <c r="AA72" s="24"/>
    </row>
    <row r="73" spans="1:27" s="4" customFormat="1" x14ac:dyDescent="0.25">
      <c r="A73" s="60" t="s">
        <v>205</v>
      </c>
      <c r="B73" s="73"/>
      <c r="C73" s="154"/>
      <c r="D73" s="149"/>
      <c r="E73" s="155"/>
      <c r="F73" s="61">
        <f t="shared" ref="F73:W73" si="20">+F71+F72</f>
        <v>870642.5</v>
      </c>
      <c r="G73" s="62">
        <f t="shared" si="20"/>
        <v>0</v>
      </c>
      <c r="H73" s="62">
        <f t="shared" si="20"/>
        <v>331066.2</v>
      </c>
      <c r="I73" s="62">
        <f t="shared" si="20"/>
        <v>0</v>
      </c>
      <c r="J73" s="63">
        <f t="shared" si="20"/>
        <v>1201708.7000000002</v>
      </c>
      <c r="K73" s="64">
        <f t="shared" si="20"/>
        <v>0</v>
      </c>
      <c r="L73" s="61">
        <f t="shared" si="20"/>
        <v>414734.14999999997</v>
      </c>
      <c r="M73" s="62">
        <f t="shared" si="20"/>
        <v>293534</v>
      </c>
      <c r="N73" s="62">
        <f t="shared" si="20"/>
        <v>70305</v>
      </c>
      <c r="O73" s="62">
        <f t="shared" si="20"/>
        <v>51977</v>
      </c>
      <c r="P73" s="62">
        <f t="shared" si="20"/>
        <v>43783</v>
      </c>
      <c r="Q73" s="62">
        <f t="shared" si="20"/>
        <v>56244</v>
      </c>
      <c r="R73" s="62">
        <f t="shared" si="20"/>
        <v>28122</v>
      </c>
      <c r="S73" s="62">
        <f t="shared" si="20"/>
        <v>167280</v>
      </c>
      <c r="T73" s="62">
        <f t="shared" si="20"/>
        <v>75730</v>
      </c>
      <c r="U73" s="63">
        <f t="shared" si="20"/>
        <v>1201709.1499999999</v>
      </c>
      <c r="V73" s="30">
        <f t="shared" si="20"/>
        <v>-0.44999999995343387</v>
      </c>
      <c r="W73" s="44">
        <f t="shared" si="20"/>
        <v>802135</v>
      </c>
      <c r="X73" s="24"/>
      <c r="Y73" s="24">
        <f>+U73-J73</f>
        <v>0.44999999972060323</v>
      </c>
      <c r="AA73" s="24"/>
    </row>
    <row r="74" spans="1:27" s="4" customFormat="1" hidden="1" x14ac:dyDescent="0.25">
      <c r="A74" s="5"/>
      <c r="B74" s="66"/>
      <c r="D74" s="16"/>
      <c r="E74" s="16"/>
      <c r="F74" s="24">
        <f>SUM(F71:F73)</f>
        <v>1741285</v>
      </c>
      <c r="G74" s="16"/>
      <c r="H74" s="24">
        <f t="shared" ref="H74:T74" si="21">SUM(H71:H73)</f>
        <v>662132.4</v>
      </c>
      <c r="I74" s="24">
        <f t="shared" si="21"/>
        <v>0</v>
      </c>
      <c r="J74" s="24">
        <f t="shared" si="21"/>
        <v>2403417.4000000004</v>
      </c>
      <c r="K74" s="24">
        <f t="shared" si="21"/>
        <v>0</v>
      </c>
      <c r="L74" s="24">
        <f t="shared" si="21"/>
        <v>829468.29999999993</v>
      </c>
      <c r="M74" s="24">
        <f t="shared" si="21"/>
        <v>587068</v>
      </c>
      <c r="N74" s="24">
        <f t="shared" si="21"/>
        <v>140610</v>
      </c>
      <c r="O74" s="24">
        <f t="shared" si="21"/>
        <v>103954</v>
      </c>
      <c r="P74" s="24">
        <f t="shared" si="21"/>
        <v>87566</v>
      </c>
      <c r="Q74" s="24">
        <f t="shared" si="21"/>
        <v>112488</v>
      </c>
      <c r="R74" s="24">
        <f t="shared" si="21"/>
        <v>56244</v>
      </c>
      <c r="S74" s="24">
        <f t="shared" si="21"/>
        <v>334560</v>
      </c>
      <c r="T74" s="24">
        <f t="shared" si="21"/>
        <v>151460</v>
      </c>
      <c r="U74" s="24">
        <f>SUM(L74:T74)</f>
        <v>2403418.2999999998</v>
      </c>
      <c r="Y74" s="24"/>
    </row>
    <row r="75" spans="1:27" s="46" customFormat="1" hidden="1" x14ac:dyDescent="0.25">
      <c r="A75" s="45"/>
      <c r="B75" s="74"/>
      <c r="D75" s="47"/>
      <c r="E75" s="47"/>
      <c r="F75" s="48"/>
      <c r="G75" s="47"/>
      <c r="I75" s="47"/>
      <c r="K75" s="47"/>
      <c r="L75" s="48"/>
      <c r="S75" s="48"/>
      <c r="U75" s="48">
        <f>SUM(L72:T72)</f>
        <v>5824.9599999999627</v>
      </c>
    </row>
    <row r="76" spans="1:27" s="4" customFormat="1" ht="15" customHeight="1" x14ac:dyDescent="0.25">
      <c r="A76" s="5"/>
      <c r="B76" s="66"/>
      <c r="D76" s="16"/>
      <c r="E76" s="16"/>
      <c r="G76" s="16"/>
      <c r="I76" s="16"/>
      <c r="K76" s="16"/>
      <c r="L76" s="24"/>
      <c r="M76" s="24"/>
      <c r="N76" s="24"/>
      <c r="O76" s="24"/>
      <c r="P76" s="24"/>
      <c r="Q76" s="24"/>
      <c r="R76" s="24"/>
      <c r="S76" s="24"/>
      <c r="T76" s="24"/>
      <c r="U76" s="24"/>
    </row>
    <row r="77" spans="1:27" s="4" customFormat="1" x14ac:dyDescent="0.25">
      <c r="A77" s="65"/>
      <c r="B77" s="75"/>
      <c r="D77" s="16"/>
      <c r="E77" s="16"/>
      <c r="G77" s="16"/>
      <c r="H77" s="24"/>
      <c r="I77" s="16"/>
      <c r="J77" s="160"/>
      <c r="K77" s="161"/>
      <c r="L77" s="177">
        <f>+'Budget Committee'!G57</f>
        <v>1043.1599999999744</v>
      </c>
      <c r="M77" s="177">
        <f>+'Athletic Committee'!G36</f>
        <v>0</v>
      </c>
      <c r="N77" s="177">
        <f>+'Child &amp; Family Center'!G14</f>
        <v>0</v>
      </c>
      <c r="O77" s="177">
        <f>+'Studyaway Fund'!G37</f>
        <v>-0.5</v>
      </c>
      <c r="P77" s="177">
        <f>+'Game Room'!G21</f>
        <v>3943</v>
      </c>
      <c r="Q77" s="177">
        <f>+'YC Radio Station'!G24</f>
        <v>-0.25</v>
      </c>
      <c r="R77" s="177">
        <f>+APAF!H59</f>
        <v>41</v>
      </c>
      <c r="S77" s="177">
        <f>+'Student Government'!G25</f>
        <v>0</v>
      </c>
      <c r="T77" s="177">
        <f>+'Student Clubs'!H172</f>
        <v>797.89999999999418</v>
      </c>
      <c r="U77" s="177"/>
      <c r="V77" s="162"/>
      <c r="W77" s="162"/>
      <c r="X77" s="162"/>
    </row>
    <row r="78" spans="1:27" s="4" customFormat="1" x14ac:dyDescent="0.25">
      <c r="A78" s="5"/>
      <c r="B78" s="66"/>
      <c r="D78" s="16"/>
      <c r="E78" s="16"/>
      <c r="G78" s="16"/>
      <c r="H78" s="24"/>
      <c r="I78" s="16"/>
      <c r="K78" s="16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</row>
    <row r="79" spans="1:27" s="50" customFormat="1" x14ac:dyDescent="0.25">
      <c r="A79" s="49"/>
      <c r="B79" s="76"/>
      <c r="D79" s="51"/>
      <c r="E79" s="51"/>
      <c r="G79" s="51"/>
      <c r="I79" s="51"/>
      <c r="K79" s="51"/>
      <c r="L79" s="163">
        <f>+L77-L72</f>
        <v>1.0000000009313226E-2</v>
      </c>
      <c r="M79" s="163">
        <f t="shared" ref="M79:T79" si="22">+M77-M72</f>
        <v>0</v>
      </c>
      <c r="N79" s="163">
        <f t="shared" si="22"/>
        <v>0</v>
      </c>
      <c r="O79" s="163">
        <f t="shared" si="22"/>
        <v>-0.5</v>
      </c>
      <c r="P79" s="163">
        <f t="shared" si="22"/>
        <v>0</v>
      </c>
      <c r="Q79" s="163">
        <f t="shared" si="22"/>
        <v>0</v>
      </c>
      <c r="R79" s="163">
        <f t="shared" si="22"/>
        <v>0</v>
      </c>
      <c r="S79" s="163">
        <f t="shared" si="22"/>
        <v>0</v>
      </c>
      <c r="T79" s="163">
        <f t="shared" si="22"/>
        <v>-0.16000000000349246</v>
      </c>
      <c r="U79" s="163"/>
      <c r="V79" s="163"/>
      <c r="W79" s="163"/>
      <c r="X79" s="163"/>
    </row>
    <row r="80" spans="1:27" s="4" customFormat="1" x14ac:dyDescent="0.25">
      <c r="A80" s="5"/>
      <c r="B80" s="66"/>
      <c r="D80" s="16"/>
      <c r="E80" s="16"/>
      <c r="G80" s="16"/>
      <c r="I80" s="16"/>
      <c r="K80" s="16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</row>
    <row r="81" spans="1:24" s="4" customFormat="1" x14ac:dyDescent="0.25">
      <c r="A81" s="5"/>
      <c r="B81" s="66"/>
      <c r="D81" s="16"/>
      <c r="E81" s="16"/>
      <c r="G81" s="16"/>
      <c r="I81" s="16"/>
      <c r="K81" s="16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</row>
    <row r="82" spans="1:24" s="4" customFormat="1" x14ac:dyDescent="0.25">
      <c r="A82" s="5"/>
      <c r="B82" s="66"/>
      <c r="D82" s="16"/>
      <c r="E82" s="16"/>
      <c r="G82" s="16"/>
      <c r="I82" s="16"/>
      <c r="K82" s="16"/>
    </row>
    <row r="83" spans="1:24" s="4" customFormat="1" x14ac:dyDescent="0.25">
      <c r="A83" s="5"/>
      <c r="B83" s="66"/>
      <c r="D83" s="16"/>
      <c r="E83" s="16"/>
      <c r="G83" s="16"/>
      <c r="I83" s="16"/>
      <c r="K83" s="16"/>
    </row>
    <row r="84" spans="1:24" s="4" customFormat="1" x14ac:dyDescent="0.25">
      <c r="A84" s="5"/>
      <c r="B84" s="66"/>
      <c r="D84" s="16"/>
      <c r="E84" s="16"/>
      <c r="G84" s="16"/>
      <c r="I84" s="16"/>
      <c r="K84" s="16"/>
    </row>
    <row r="85" spans="1:24" s="4" customFormat="1" x14ac:dyDescent="0.25">
      <c r="A85" s="5"/>
      <c r="B85" s="66"/>
      <c r="D85" s="16"/>
      <c r="E85" s="16"/>
      <c r="G85" s="16"/>
      <c r="I85" s="16"/>
      <c r="K85" s="16"/>
    </row>
    <row r="86" spans="1:24" s="4" customFormat="1" x14ac:dyDescent="0.25">
      <c r="A86" s="5"/>
      <c r="B86" s="66"/>
      <c r="D86" s="16"/>
      <c r="E86" s="16"/>
      <c r="G86" s="16"/>
      <c r="I86" s="16"/>
      <c r="K86" s="16"/>
    </row>
    <row r="87" spans="1:24" s="4" customFormat="1" x14ac:dyDescent="0.25">
      <c r="A87" s="5"/>
      <c r="B87" s="66"/>
      <c r="D87" s="16"/>
      <c r="E87" s="16"/>
      <c r="G87" s="16"/>
      <c r="I87" s="16"/>
      <c r="K87" s="16"/>
    </row>
    <row r="88" spans="1:24" s="4" customFormat="1" x14ac:dyDescent="0.25">
      <c r="A88" s="5"/>
      <c r="B88" s="66"/>
      <c r="D88" s="16"/>
      <c r="E88" s="16"/>
      <c r="G88" s="16"/>
      <c r="I88" s="16"/>
      <c r="K88" s="16"/>
    </row>
    <row r="89" spans="1:24" s="4" customFormat="1" x14ac:dyDescent="0.25">
      <c r="A89" s="5"/>
      <c r="B89" s="66"/>
      <c r="D89" s="16"/>
      <c r="E89" s="16"/>
      <c r="G89" s="16"/>
      <c r="I89" s="16"/>
      <c r="K89" s="16"/>
    </row>
  </sheetData>
  <mergeCells count="3">
    <mergeCell ref="A1:U1"/>
    <mergeCell ref="A2:U2"/>
    <mergeCell ref="A3:U3"/>
  </mergeCells>
  <printOptions horizontalCentered="1"/>
  <pageMargins left="0.2" right="0.2" top="0.5" bottom="0.2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76"/>
  <sheetViews>
    <sheetView topLeftCell="A4" zoomScaleNormal="100" workbookViewId="0">
      <pane xSplit="3" ySplit="1" topLeftCell="D87" activePane="bottomRight" state="frozen"/>
      <selection activeCell="A43" sqref="A43:XFD43"/>
      <selection pane="topRight" activeCell="A43" sqref="A43:XFD43"/>
      <selection pane="bottomLeft" activeCell="A43" sqref="A43:XFD43"/>
      <selection pane="bottomRight" activeCell="M112" sqref="M112:N112"/>
    </sheetView>
  </sheetViews>
  <sheetFormatPr defaultRowHeight="15" x14ac:dyDescent="0.25"/>
  <cols>
    <col min="1" max="1" width="9" style="2" bestFit="1" customWidth="1"/>
    <col min="2" max="2" width="41.85546875" bestFit="1" customWidth="1"/>
    <col min="3" max="3" width="1.7109375" style="1" customWidth="1"/>
    <col min="4" max="4" width="10.5703125" bestFit="1" customWidth="1"/>
    <col min="5" max="5" width="1.7109375" style="1" customWidth="1"/>
    <col min="6" max="6" width="11.5703125" customWidth="1"/>
    <col min="7" max="7" width="1.7109375" style="1" customWidth="1"/>
    <col min="8" max="8" width="11.7109375" style="4" bestFit="1" customWidth="1"/>
    <col min="9" max="9" width="1.7109375" style="1" customWidth="1"/>
    <col min="10" max="10" width="14" style="4" customWidth="1"/>
    <col min="11" max="11" width="1.7109375" style="16" customWidth="1"/>
    <col min="12" max="12" width="10.140625" style="4" customWidth="1"/>
    <col min="13" max="13" width="8.85546875" style="122"/>
  </cols>
  <sheetData>
    <row r="1" spans="1:13" ht="14.45" x14ac:dyDescent="0.3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3" ht="14.45" x14ac:dyDescent="0.3">
      <c r="A2" s="182" t="s">
        <v>14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ht="14.45" x14ac:dyDescent="0.3">
      <c r="A3" s="182" t="s">
        <v>76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3" ht="17.25" customHeight="1" x14ac:dyDescent="0.3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3" ht="14.45" x14ac:dyDescent="0.3">
      <c r="B5" s="2"/>
      <c r="C5" s="2"/>
      <c r="D5" s="2"/>
      <c r="E5" s="78"/>
      <c r="F5" s="2"/>
      <c r="G5" s="78"/>
      <c r="H5" s="6"/>
      <c r="I5" s="78"/>
      <c r="J5" s="6"/>
      <c r="K5" s="79"/>
      <c r="L5" s="6"/>
    </row>
    <row r="6" spans="1:13" ht="67.150000000000006" thickBot="1" x14ac:dyDescent="0.35">
      <c r="A6" s="2" t="s">
        <v>92</v>
      </c>
      <c r="B6" s="95" t="s">
        <v>3</v>
      </c>
      <c r="C6" s="96"/>
      <c r="D6" s="97" t="s">
        <v>4</v>
      </c>
      <c r="E6" s="98"/>
      <c r="F6" s="97" t="s">
        <v>5</v>
      </c>
      <c r="G6" s="98"/>
      <c r="H6" s="99" t="s">
        <v>6</v>
      </c>
      <c r="I6" s="98"/>
      <c r="J6" s="100" t="s">
        <v>54</v>
      </c>
      <c r="K6" s="101"/>
      <c r="L6" s="99" t="s">
        <v>55</v>
      </c>
      <c r="M6" s="123"/>
    </row>
    <row r="7" spans="1:13" ht="14.45" x14ac:dyDescent="0.3">
      <c r="A7" s="124"/>
      <c r="B7" s="102" t="s">
        <v>17</v>
      </c>
      <c r="C7" s="103"/>
      <c r="D7" s="104">
        <v>22403</v>
      </c>
      <c r="E7" s="105"/>
      <c r="F7" s="104">
        <v>2827</v>
      </c>
      <c r="G7" s="105"/>
      <c r="H7" s="106">
        <f>D7+F7</f>
        <v>25230</v>
      </c>
      <c r="I7" s="105"/>
      <c r="J7" s="106">
        <v>6953</v>
      </c>
      <c r="K7" s="107"/>
      <c r="L7" s="106">
        <f>H7-J7</f>
        <v>18277</v>
      </c>
      <c r="M7" s="123"/>
    </row>
    <row r="8" spans="1:13" x14ac:dyDescent="0.25">
      <c r="B8" s="102" t="s">
        <v>18</v>
      </c>
      <c r="C8" s="103"/>
      <c r="D8" s="104">
        <v>20777</v>
      </c>
      <c r="E8" s="105"/>
      <c r="F8" s="104">
        <f>22480-20777</f>
        <v>1703</v>
      </c>
      <c r="G8" s="105"/>
      <c r="H8" s="106">
        <f>D8+F8</f>
        <v>22480</v>
      </c>
      <c r="I8" s="105"/>
      <c r="J8" s="106">
        <v>0</v>
      </c>
      <c r="K8" s="107"/>
      <c r="L8" s="106">
        <f>H8-J8</f>
        <v>22480</v>
      </c>
      <c r="M8" s="125"/>
    </row>
    <row r="9" spans="1:13" hidden="1" x14ac:dyDescent="0.25">
      <c r="B9" s="102" t="s">
        <v>220</v>
      </c>
      <c r="C9" s="103"/>
      <c r="D9" s="104"/>
      <c r="E9" s="105"/>
      <c r="F9" s="104">
        <v>0</v>
      </c>
      <c r="G9" s="105"/>
      <c r="H9" s="106">
        <f>D9+F9</f>
        <v>0</v>
      </c>
      <c r="I9" s="105"/>
      <c r="J9" s="106"/>
      <c r="K9" s="107"/>
      <c r="L9" s="106">
        <f>H9-J9</f>
        <v>0</v>
      </c>
      <c r="M9" s="125"/>
    </row>
    <row r="10" spans="1:13" x14ac:dyDescent="0.25">
      <c r="B10" s="108" t="s">
        <v>24</v>
      </c>
      <c r="C10" s="103"/>
      <c r="D10" s="109">
        <f>SUM(D7:D8)</f>
        <v>43180</v>
      </c>
      <c r="E10" s="105"/>
      <c r="F10" s="109">
        <f>SUM(F7:F9)</f>
        <v>4530</v>
      </c>
      <c r="G10" s="105"/>
      <c r="H10" s="109">
        <f>SUM(H7:H9)</f>
        <v>47710</v>
      </c>
      <c r="I10" s="105"/>
      <c r="J10" s="110">
        <f>SUM(J7:J9)</f>
        <v>6953</v>
      </c>
      <c r="K10" s="107"/>
      <c r="L10" s="109">
        <f>SUM(L7:L9)</f>
        <v>40757</v>
      </c>
      <c r="M10" s="123"/>
    </row>
    <row r="11" spans="1:13" x14ac:dyDescent="0.25">
      <c r="B11" s="111" t="s">
        <v>22</v>
      </c>
      <c r="C11" s="103"/>
      <c r="D11" s="105">
        <v>0</v>
      </c>
      <c r="E11" s="105"/>
      <c r="F11" s="105">
        <f>16000+'Budget Committee'!E48</f>
        <v>32443.84</v>
      </c>
      <c r="G11" s="105"/>
      <c r="H11" s="107">
        <f>+D11+F11</f>
        <v>32443.84</v>
      </c>
      <c r="I11" s="105"/>
      <c r="J11" s="107">
        <v>0</v>
      </c>
      <c r="K11" s="107"/>
      <c r="L11" s="107">
        <f>+H11-J11</f>
        <v>32443.84</v>
      </c>
      <c r="M11" s="123"/>
    </row>
    <row r="12" spans="1:13" x14ac:dyDescent="0.25">
      <c r="B12" s="111"/>
      <c r="C12" s="103"/>
      <c r="D12" s="105"/>
      <c r="E12" s="105"/>
      <c r="F12" s="105">
        <v>-4424</v>
      </c>
      <c r="G12" s="105"/>
      <c r="H12" s="107">
        <f>+D12+F12</f>
        <v>-4424</v>
      </c>
      <c r="I12" s="105"/>
      <c r="J12" s="107">
        <v>0</v>
      </c>
      <c r="K12" s="107"/>
      <c r="L12" s="107">
        <f>+H12-J12</f>
        <v>-4424</v>
      </c>
      <c r="M12" s="123"/>
    </row>
    <row r="13" spans="1:13" x14ac:dyDescent="0.25">
      <c r="B13" s="108" t="s">
        <v>56</v>
      </c>
      <c r="C13" s="103"/>
      <c r="D13" s="109">
        <f>+D10+D11+D12</f>
        <v>43180</v>
      </c>
      <c r="E13" s="105"/>
      <c r="F13" s="109">
        <f>+F10+F11+F12</f>
        <v>32549.839999999997</v>
      </c>
      <c r="G13" s="105"/>
      <c r="H13" s="109">
        <f>+H10+H11+H12</f>
        <v>75729.84</v>
      </c>
      <c r="I13" s="105"/>
      <c r="J13" s="110">
        <f>+J10+J11+J12</f>
        <v>6953</v>
      </c>
      <c r="K13" s="107"/>
      <c r="L13" s="109">
        <f>+L10+L11+L12</f>
        <v>68776.84</v>
      </c>
      <c r="M13" s="123"/>
    </row>
    <row r="14" spans="1:13" x14ac:dyDescent="0.25">
      <c r="B14" s="108"/>
      <c r="C14" s="103"/>
      <c r="D14" s="105"/>
      <c r="E14" s="105"/>
      <c r="F14" s="105"/>
      <c r="G14" s="105"/>
      <c r="H14" s="107"/>
      <c r="I14" s="105"/>
      <c r="J14" s="107"/>
      <c r="K14" s="107"/>
      <c r="L14" s="107"/>
      <c r="M14" s="123"/>
    </row>
    <row r="15" spans="1:13" ht="15" customHeight="1" x14ac:dyDescent="0.25">
      <c r="B15" s="126" t="s">
        <v>17</v>
      </c>
      <c r="C15" s="103"/>
      <c r="D15" s="105"/>
      <c r="E15" s="105"/>
      <c r="F15" s="105"/>
      <c r="G15" s="105"/>
      <c r="H15" s="107"/>
      <c r="I15" s="105"/>
      <c r="J15" s="107"/>
      <c r="K15" s="107"/>
      <c r="L15" s="107"/>
      <c r="M15" s="123"/>
    </row>
    <row r="16" spans="1:13" x14ac:dyDescent="0.25">
      <c r="A16" s="127"/>
      <c r="B16" s="91" t="s">
        <v>25</v>
      </c>
      <c r="C16" s="103"/>
      <c r="D16" s="104">
        <v>4000</v>
      </c>
      <c r="E16" s="105"/>
      <c r="F16" s="104">
        <v>0</v>
      </c>
      <c r="G16" s="105"/>
      <c r="H16" s="106">
        <f>D16+F16</f>
        <v>4000</v>
      </c>
      <c r="I16" s="105"/>
      <c r="J16" s="106">
        <v>4000</v>
      </c>
      <c r="K16" s="107"/>
      <c r="L16" s="106">
        <f t="shared" ref="L16:L17" si="0">H16-J16</f>
        <v>0</v>
      </c>
      <c r="M16" s="123"/>
    </row>
    <row r="17" spans="1:14" ht="15" hidden="1" customHeight="1" x14ac:dyDescent="0.25">
      <c r="A17" s="127"/>
      <c r="B17" s="91" t="s">
        <v>94</v>
      </c>
      <c r="C17" s="103"/>
      <c r="D17" s="104">
        <v>0</v>
      </c>
      <c r="E17" s="105"/>
      <c r="F17" s="104">
        <v>0</v>
      </c>
      <c r="G17" s="105"/>
      <c r="H17" s="106">
        <f t="shared" ref="H17" si="1">+D17+F17</f>
        <v>0</v>
      </c>
      <c r="I17" s="105"/>
      <c r="J17" s="106">
        <v>0</v>
      </c>
      <c r="K17" s="107"/>
      <c r="L17" s="106">
        <f t="shared" si="0"/>
        <v>0</v>
      </c>
      <c r="M17" s="123"/>
    </row>
    <row r="18" spans="1:14" s="128" customFormat="1" ht="15" customHeight="1" x14ac:dyDescent="0.25">
      <c r="A18" s="127">
        <v>43382</v>
      </c>
      <c r="B18" s="91" t="s">
        <v>95</v>
      </c>
      <c r="C18" s="103"/>
      <c r="D18" s="104">
        <v>0</v>
      </c>
      <c r="E18" s="105"/>
      <c r="F18" s="104">
        <v>3000</v>
      </c>
      <c r="G18" s="105"/>
      <c r="H18" s="106">
        <f>+D18+F18</f>
        <v>3000</v>
      </c>
      <c r="I18" s="105"/>
      <c r="J18" s="106">
        <v>1950</v>
      </c>
      <c r="K18" s="107"/>
      <c r="L18" s="106">
        <f>H18-J18</f>
        <v>1050</v>
      </c>
      <c r="M18" s="123"/>
    </row>
    <row r="19" spans="1:14" s="128" customFormat="1" ht="15" hidden="1" customHeight="1" x14ac:dyDescent="0.25">
      <c r="A19" s="127"/>
      <c r="B19" s="91" t="s">
        <v>95</v>
      </c>
      <c r="C19" s="103"/>
      <c r="D19" s="104">
        <v>0</v>
      </c>
      <c r="E19" s="105"/>
      <c r="F19" s="104">
        <v>0</v>
      </c>
      <c r="G19" s="105"/>
      <c r="H19" s="106">
        <f>+D19+F19</f>
        <v>0</v>
      </c>
      <c r="I19" s="105"/>
      <c r="J19" s="106">
        <v>0</v>
      </c>
      <c r="K19" s="107"/>
      <c r="L19" s="106">
        <f>H19-J19</f>
        <v>0</v>
      </c>
      <c r="M19" s="123"/>
    </row>
    <row r="20" spans="1:14" s="128" customFormat="1" ht="15" hidden="1" customHeight="1" x14ac:dyDescent="0.25">
      <c r="A20" s="127"/>
      <c r="B20" s="91" t="s">
        <v>96</v>
      </c>
      <c r="C20" s="103"/>
      <c r="D20" s="104">
        <v>0</v>
      </c>
      <c r="E20" s="105"/>
      <c r="F20" s="104">
        <v>0</v>
      </c>
      <c r="G20" s="105"/>
      <c r="H20" s="106">
        <f>+D20+F20</f>
        <v>0</v>
      </c>
      <c r="I20" s="105"/>
      <c r="J20" s="106">
        <v>0</v>
      </c>
      <c r="K20" s="107"/>
      <c r="L20" s="106">
        <f>H20-J20</f>
        <v>0</v>
      </c>
      <c r="M20" s="123"/>
    </row>
    <row r="21" spans="1:14" ht="15" hidden="1" customHeight="1" x14ac:dyDescent="0.25">
      <c r="A21" s="127"/>
      <c r="B21" s="91" t="s">
        <v>96</v>
      </c>
      <c r="C21" s="103"/>
      <c r="D21" s="104">
        <v>0</v>
      </c>
      <c r="E21" s="105"/>
      <c r="F21" s="104">
        <v>0</v>
      </c>
      <c r="G21" s="105"/>
      <c r="H21" s="106">
        <f>+D21+F21</f>
        <v>0</v>
      </c>
      <c r="I21" s="105"/>
      <c r="J21" s="106">
        <v>0</v>
      </c>
      <c r="K21" s="107"/>
      <c r="L21" s="106">
        <f>H21-J21</f>
        <v>0</v>
      </c>
      <c r="M21" s="123"/>
    </row>
    <row r="22" spans="1:14" ht="15" customHeight="1" x14ac:dyDescent="0.25">
      <c r="A22" s="127">
        <v>43529</v>
      </c>
      <c r="B22" s="91" t="s">
        <v>229</v>
      </c>
      <c r="C22" s="103"/>
      <c r="D22" s="104"/>
      <c r="E22" s="105"/>
      <c r="F22" s="104">
        <v>2280</v>
      </c>
      <c r="G22" s="105"/>
      <c r="H22" s="106">
        <f>+D22+F22</f>
        <v>2280</v>
      </c>
      <c r="I22" s="105"/>
      <c r="J22" s="106">
        <v>551.14</v>
      </c>
      <c r="K22" s="107"/>
      <c r="L22" s="106">
        <f>H22-J22</f>
        <v>1728.8600000000001</v>
      </c>
      <c r="M22" s="123"/>
      <c r="N22" s="105"/>
    </row>
    <row r="23" spans="1:14" ht="15" hidden="1" customHeight="1" x14ac:dyDescent="0.25">
      <c r="A23" s="127"/>
      <c r="B23" s="91" t="s">
        <v>125</v>
      </c>
      <c r="C23" s="103"/>
      <c r="D23" s="104">
        <v>0</v>
      </c>
      <c r="E23" s="105"/>
      <c r="F23" s="104">
        <v>0</v>
      </c>
      <c r="G23" s="105"/>
      <c r="H23" s="106">
        <f>+D23+F23</f>
        <v>0</v>
      </c>
      <c r="I23" s="105"/>
      <c r="J23" s="106">
        <v>0</v>
      </c>
      <c r="K23" s="107"/>
      <c r="L23" s="106">
        <f>H23-J23</f>
        <v>0</v>
      </c>
      <c r="M23" s="123"/>
    </row>
    <row r="24" spans="1:14" ht="15" hidden="1" customHeight="1" x14ac:dyDescent="0.25">
      <c r="A24" s="127"/>
      <c r="B24" s="91" t="s">
        <v>125</v>
      </c>
      <c r="C24" s="103"/>
      <c r="D24" s="104">
        <v>0</v>
      </c>
      <c r="E24" s="105"/>
      <c r="F24" s="104">
        <v>0</v>
      </c>
      <c r="G24" s="105"/>
      <c r="H24" s="106">
        <f>+D24+F24</f>
        <v>0</v>
      </c>
      <c r="I24" s="105"/>
      <c r="J24" s="106">
        <v>0</v>
      </c>
      <c r="K24" s="107"/>
      <c r="L24" s="106">
        <f>H24-J24</f>
        <v>0</v>
      </c>
      <c r="M24" s="123"/>
    </row>
    <row r="25" spans="1:14" ht="15" hidden="1" customHeight="1" x14ac:dyDescent="0.25">
      <c r="A25" s="127"/>
      <c r="B25" s="91" t="s">
        <v>126</v>
      </c>
      <c r="C25" s="103"/>
      <c r="D25" s="104">
        <v>0</v>
      </c>
      <c r="E25" s="105"/>
      <c r="F25" s="104">
        <v>0</v>
      </c>
      <c r="G25" s="105"/>
      <c r="H25" s="106">
        <f>+D25+F25</f>
        <v>0</v>
      </c>
      <c r="I25" s="105"/>
      <c r="J25" s="106">
        <v>0</v>
      </c>
      <c r="K25" s="107"/>
      <c r="L25" s="106">
        <f>H25-J25</f>
        <v>0</v>
      </c>
      <c r="M25" s="123"/>
    </row>
    <row r="26" spans="1:14" ht="15" hidden="1" customHeight="1" x14ac:dyDescent="0.25">
      <c r="A26" s="127"/>
      <c r="B26" s="91" t="s">
        <v>98</v>
      </c>
      <c r="C26" s="103"/>
      <c r="D26" s="104">
        <v>0</v>
      </c>
      <c r="E26" s="105"/>
      <c r="F26" s="104">
        <v>0</v>
      </c>
      <c r="G26" s="105"/>
      <c r="H26" s="106">
        <f>+D26+F26</f>
        <v>0</v>
      </c>
      <c r="I26" s="105"/>
      <c r="J26" s="106">
        <v>0</v>
      </c>
      <c r="K26" s="107"/>
      <c r="L26" s="106">
        <f>H26-J26</f>
        <v>0</v>
      </c>
      <c r="M26" s="123"/>
    </row>
    <row r="27" spans="1:14" s="128" customFormat="1" ht="15" customHeight="1" x14ac:dyDescent="0.25">
      <c r="A27" s="127">
        <v>43529</v>
      </c>
      <c r="B27" s="91" t="s">
        <v>228</v>
      </c>
      <c r="C27" s="103"/>
      <c r="D27" s="104"/>
      <c r="E27" s="105"/>
      <c r="F27" s="104">
        <v>500</v>
      </c>
      <c r="G27" s="105"/>
      <c r="H27" s="106">
        <f>+D27+F27</f>
        <v>500</v>
      </c>
      <c r="I27" s="105"/>
      <c r="J27" s="106"/>
      <c r="K27" s="107"/>
      <c r="L27" s="106">
        <f>H27-J27</f>
        <v>500</v>
      </c>
      <c r="M27" s="123"/>
    </row>
    <row r="28" spans="1:14" s="128" customFormat="1" ht="15" customHeight="1" x14ac:dyDescent="0.25">
      <c r="A28" s="127">
        <v>43515</v>
      </c>
      <c r="B28" s="91" t="s">
        <v>214</v>
      </c>
      <c r="C28" s="103"/>
      <c r="D28" s="104"/>
      <c r="E28" s="105"/>
      <c r="F28" s="104">
        <v>200</v>
      </c>
      <c r="G28" s="105"/>
      <c r="H28" s="106">
        <f>+D28+F28</f>
        <v>200</v>
      </c>
      <c r="I28" s="105"/>
      <c r="J28" s="106">
        <v>160</v>
      </c>
      <c r="K28" s="107"/>
      <c r="L28" s="106">
        <f>H28-J28</f>
        <v>40</v>
      </c>
      <c r="M28" s="123"/>
    </row>
    <row r="29" spans="1:14" ht="15" hidden="1" customHeight="1" x14ac:dyDescent="0.25">
      <c r="A29" s="127"/>
      <c r="B29" s="91" t="s">
        <v>128</v>
      </c>
      <c r="C29" s="103"/>
      <c r="D29" s="104">
        <v>0</v>
      </c>
      <c r="E29" s="105"/>
      <c r="F29" s="104">
        <v>0</v>
      </c>
      <c r="G29" s="105"/>
      <c r="H29" s="106">
        <f>+D29+F29</f>
        <v>0</v>
      </c>
      <c r="I29" s="105"/>
      <c r="J29" s="106">
        <v>0</v>
      </c>
      <c r="K29" s="107"/>
      <c r="L29" s="106">
        <f>H29-J29</f>
        <v>0</v>
      </c>
      <c r="M29" s="123"/>
    </row>
    <row r="30" spans="1:14" ht="15" hidden="1" customHeight="1" x14ac:dyDescent="0.25">
      <c r="A30" s="127"/>
      <c r="B30" s="91" t="s">
        <v>129</v>
      </c>
      <c r="C30" s="103"/>
      <c r="D30" s="104">
        <v>0</v>
      </c>
      <c r="E30" s="105"/>
      <c r="F30" s="104">
        <v>0</v>
      </c>
      <c r="G30" s="105"/>
      <c r="H30" s="106">
        <f>+D30+F30</f>
        <v>0</v>
      </c>
      <c r="I30" s="105"/>
      <c r="J30" s="106">
        <v>0</v>
      </c>
      <c r="K30" s="107"/>
      <c r="L30" s="106">
        <f>H30-J30</f>
        <v>0</v>
      </c>
      <c r="M30" s="123"/>
    </row>
    <row r="31" spans="1:14" ht="15" hidden="1" customHeight="1" x14ac:dyDescent="0.25">
      <c r="A31" s="127"/>
      <c r="B31" s="91" t="s">
        <v>130</v>
      </c>
      <c r="C31" s="103"/>
      <c r="D31" s="104">
        <v>0</v>
      </c>
      <c r="E31" s="105"/>
      <c r="F31" s="104">
        <v>0</v>
      </c>
      <c r="G31" s="105"/>
      <c r="H31" s="106">
        <f>+D31+F31</f>
        <v>0</v>
      </c>
      <c r="I31" s="105"/>
      <c r="J31" s="106">
        <v>0</v>
      </c>
      <c r="K31" s="107"/>
      <c r="L31" s="106">
        <f>H31-J31</f>
        <v>0</v>
      </c>
      <c r="M31" s="123"/>
    </row>
    <row r="32" spans="1:14" ht="15" hidden="1" customHeight="1" x14ac:dyDescent="0.25">
      <c r="A32" s="127"/>
      <c r="B32" s="91" t="s">
        <v>102</v>
      </c>
      <c r="C32" s="103"/>
      <c r="D32" s="104">
        <v>0</v>
      </c>
      <c r="E32" s="105"/>
      <c r="F32" s="104">
        <v>0</v>
      </c>
      <c r="G32" s="105"/>
      <c r="H32" s="106">
        <f>+D32+F32</f>
        <v>0</v>
      </c>
      <c r="I32" s="105"/>
      <c r="J32" s="106">
        <v>0</v>
      </c>
      <c r="K32" s="107"/>
      <c r="L32" s="106">
        <f>H32-J32</f>
        <v>0</v>
      </c>
      <c r="M32" s="123"/>
    </row>
    <row r="33" spans="1:13" ht="15" customHeight="1" x14ac:dyDescent="0.25">
      <c r="A33" s="127">
        <v>43571</v>
      </c>
      <c r="B33" s="91" t="s">
        <v>96</v>
      </c>
      <c r="C33" s="103"/>
      <c r="D33" s="104"/>
      <c r="E33" s="105"/>
      <c r="F33" s="104">
        <v>1000</v>
      </c>
      <c r="G33" s="105"/>
      <c r="H33" s="106">
        <f>+D33+F33</f>
        <v>1000</v>
      </c>
      <c r="I33" s="105"/>
      <c r="J33" s="106">
        <v>703.5</v>
      </c>
      <c r="K33" s="107"/>
      <c r="L33" s="106">
        <f>H33-J33</f>
        <v>296.5</v>
      </c>
      <c r="M33" s="123"/>
    </row>
    <row r="34" spans="1:13" ht="15" hidden="1" customHeight="1" x14ac:dyDescent="0.25">
      <c r="A34" s="178">
        <v>43529</v>
      </c>
      <c r="B34" s="114" t="s">
        <v>221</v>
      </c>
      <c r="C34" s="115"/>
      <c r="D34" s="106"/>
      <c r="E34" s="107"/>
      <c r="F34" s="106">
        <v>0</v>
      </c>
      <c r="G34" s="107"/>
      <c r="H34" s="106">
        <f>+D34+F34</f>
        <v>0</v>
      </c>
      <c r="I34" s="107"/>
      <c r="J34" s="106">
        <v>0</v>
      </c>
      <c r="K34" s="107"/>
      <c r="L34" s="106">
        <f>H34-J34</f>
        <v>0</v>
      </c>
      <c r="M34" s="123"/>
    </row>
    <row r="35" spans="1:13" ht="15" hidden="1" customHeight="1" x14ac:dyDescent="0.25">
      <c r="A35" s="127"/>
      <c r="B35" s="91" t="s">
        <v>104</v>
      </c>
      <c r="C35" s="103"/>
      <c r="D35" s="104">
        <v>0</v>
      </c>
      <c r="E35" s="105"/>
      <c r="F35" s="104">
        <v>0</v>
      </c>
      <c r="G35" s="105"/>
      <c r="H35" s="106">
        <f>+D35+F35</f>
        <v>0</v>
      </c>
      <c r="I35" s="105"/>
      <c r="J35" s="106">
        <v>0</v>
      </c>
      <c r="K35" s="107"/>
      <c r="L35" s="106">
        <f>H35-J35</f>
        <v>0</v>
      </c>
      <c r="M35" s="125"/>
    </row>
    <row r="36" spans="1:13" s="128" customFormat="1" ht="15" customHeight="1" x14ac:dyDescent="0.25">
      <c r="A36" s="127">
        <v>43382</v>
      </c>
      <c r="B36" s="91" t="s">
        <v>97</v>
      </c>
      <c r="C36" s="103"/>
      <c r="D36" s="104">
        <v>0</v>
      </c>
      <c r="E36" s="105"/>
      <c r="F36" s="104">
        <f>2425+2000</f>
        <v>4425</v>
      </c>
      <c r="G36" s="105"/>
      <c r="H36" s="106">
        <f>+D36+F36</f>
        <v>4425</v>
      </c>
      <c r="I36" s="105"/>
      <c r="J36" s="106">
        <v>2562.4899999999998</v>
      </c>
      <c r="K36" s="107"/>
      <c r="L36" s="106">
        <f>H36-J36</f>
        <v>1862.5100000000002</v>
      </c>
      <c r="M36" s="123"/>
    </row>
    <row r="37" spans="1:13" s="128" customFormat="1" ht="15" customHeight="1" x14ac:dyDescent="0.25">
      <c r="A37" s="127">
        <v>43382</v>
      </c>
      <c r="B37" s="91" t="s">
        <v>175</v>
      </c>
      <c r="C37" s="103"/>
      <c r="D37" s="104">
        <v>0</v>
      </c>
      <c r="E37" s="105"/>
      <c r="F37" s="104">
        <v>120</v>
      </c>
      <c r="G37" s="105"/>
      <c r="H37" s="106">
        <f>+D37+F37</f>
        <v>120</v>
      </c>
      <c r="I37" s="105"/>
      <c r="J37" s="106">
        <v>0</v>
      </c>
      <c r="K37" s="107"/>
      <c r="L37" s="106">
        <f>H37-J37</f>
        <v>120</v>
      </c>
      <c r="M37" s="123"/>
    </row>
    <row r="38" spans="1:13" ht="15" hidden="1" customHeight="1" x14ac:dyDescent="0.25">
      <c r="A38" s="127"/>
      <c r="B38" s="91" t="s">
        <v>132</v>
      </c>
      <c r="C38" s="103"/>
      <c r="D38" s="104">
        <v>0</v>
      </c>
      <c r="E38" s="105"/>
      <c r="F38" s="104">
        <v>0</v>
      </c>
      <c r="G38" s="105"/>
      <c r="H38" s="106">
        <f>+D38+F38</f>
        <v>0</v>
      </c>
      <c r="I38" s="105"/>
      <c r="J38" s="106">
        <v>0</v>
      </c>
      <c r="K38" s="107"/>
      <c r="L38" s="106">
        <f>H38-J38</f>
        <v>0</v>
      </c>
      <c r="M38" s="123"/>
    </row>
    <row r="39" spans="1:13" ht="15" hidden="1" customHeight="1" x14ac:dyDescent="0.25">
      <c r="A39" s="127"/>
      <c r="B39" s="91" t="s">
        <v>105</v>
      </c>
      <c r="C39" s="103"/>
      <c r="D39" s="104">
        <v>0</v>
      </c>
      <c r="E39" s="105"/>
      <c r="F39" s="104">
        <v>0</v>
      </c>
      <c r="G39" s="105"/>
      <c r="H39" s="106">
        <f>+D39+F39</f>
        <v>0</v>
      </c>
      <c r="I39" s="105"/>
      <c r="J39" s="106">
        <v>0</v>
      </c>
      <c r="K39" s="107"/>
      <c r="L39" s="106">
        <f>H39-J39</f>
        <v>0</v>
      </c>
      <c r="M39" s="123"/>
    </row>
    <row r="40" spans="1:13" ht="15" hidden="1" customHeight="1" x14ac:dyDescent="0.25">
      <c r="A40" s="127"/>
      <c r="B40" s="91" t="s">
        <v>133</v>
      </c>
      <c r="C40" s="103"/>
      <c r="D40" s="104">
        <v>0</v>
      </c>
      <c r="E40" s="105"/>
      <c r="F40" s="104">
        <v>0</v>
      </c>
      <c r="G40" s="105"/>
      <c r="H40" s="106">
        <f>+D40+F40</f>
        <v>0</v>
      </c>
      <c r="I40" s="105"/>
      <c r="J40" s="106">
        <v>0</v>
      </c>
      <c r="K40" s="107"/>
      <c r="L40" s="106">
        <f>H40-J40</f>
        <v>0</v>
      </c>
      <c r="M40" s="123"/>
    </row>
    <row r="41" spans="1:13" ht="15" customHeight="1" x14ac:dyDescent="0.25">
      <c r="A41" s="127">
        <v>43571</v>
      </c>
      <c r="B41" s="91" t="s">
        <v>175</v>
      </c>
      <c r="C41" s="103"/>
      <c r="D41" s="104"/>
      <c r="E41" s="105"/>
      <c r="F41" s="104">
        <v>150</v>
      </c>
      <c r="G41" s="105"/>
      <c r="H41" s="106">
        <f>+D41+F41</f>
        <v>150</v>
      </c>
      <c r="I41" s="105"/>
      <c r="J41" s="106"/>
      <c r="K41" s="107"/>
      <c r="L41" s="106">
        <f>H41-J41</f>
        <v>150</v>
      </c>
      <c r="M41" s="125"/>
    </row>
    <row r="42" spans="1:13" ht="15" customHeight="1" x14ac:dyDescent="0.25">
      <c r="A42" s="127">
        <v>43571</v>
      </c>
      <c r="B42" s="91" t="s">
        <v>175</v>
      </c>
      <c r="C42" s="103"/>
      <c r="D42" s="104"/>
      <c r="E42" s="105"/>
      <c r="F42" s="104">
        <v>500</v>
      </c>
      <c r="G42" s="105"/>
      <c r="H42" s="106">
        <f>+D42+F42</f>
        <v>500</v>
      </c>
      <c r="I42" s="105"/>
      <c r="J42" s="106"/>
      <c r="K42" s="107"/>
      <c r="L42" s="106">
        <f>H42-J42</f>
        <v>500</v>
      </c>
      <c r="M42" s="123"/>
    </row>
    <row r="43" spans="1:13" ht="15" customHeight="1" x14ac:dyDescent="0.25">
      <c r="A43" s="127">
        <v>43571</v>
      </c>
      <c r="B43" s="91" t="s">
        <v>175</v>
      </c>
      <c r="C43" s="103"/>
      <c r="D43" s="104"/>
      <c r="E43" s="105"/>
      <c r="F43" s="104">
        <v>500</v>
      </c>
      <c r="G43" s="105"/>
      <c r="H43" s="106">
        <f>+D43+F43</f>
        <v>500</v>
      </c>
      <c r="I43" s="105"/>
      <c r="J43" s="106">
        <v>299.7</v>
      </c>
      <c r="K43" s="107"/>
      <c r="L43" s="106">
        <f>H43-J43</f>
        <v>200.3</v>
      </c>
      <c r="M43" s="125"/>
    </row>
    <row r="44" spans="1:13" ht="15" customHeight="1" x14ac:dyDescent="0.25">
      <c r="A44" s="127">
        <v>43382</v>
      </c>
      <c r="B44" s="91" t="s">
        <v>176</v>
      </c>
      <c r="C44" s="103"/>
      <c r="D44" s="104">
        <v>0</v>
      </c>
      <c r="E44" s="105"/>
      <c r="F44" s="104">
        <v>1468</v>
      </c>
      <c r="G44" s="105"/>
      <c r="H44" s="106">
        <f>+D44+F44</f>
        <v>1468</v>
      </c>
      <c r="I44" s="105"/>
      <c r="J44" s="106">
        <f>388</f>
        <v>388</v>
      </c>
      <c r="K44" s="107"/>
      <c r="L44" s="106">
        <f>H44-J44</f>
        <v>1080</v>
      </c>
      <c r="M44" s="125"/>
    </row>
    <row r="45" spans="1:13" ht="15" hidden="1" customHeight="1" x14ac:dyDescent="0.25">
      <c r="A45" s="127"/>
      <c r="B45" s="91" t="s">
        <v>136</v>
      </c>
      <c r="C45" s="103"/>
      <c r="D45" s="104">
        <v>0</v>
      </c>
      <c r="E45" s="105"/>
      <c r="F45" s="104">
        <v>0</v>
      </c>
      <c r="G45" s="105"/>
      <c r="H45" s="106">
        <f>+D45+F45</f>
        <v>0</v>
      </c>
      <c r="I45" s="105"/>
      <c r="J45" s="106">
        <v>0</v>
      </c>
      <c r="K45" s="107"/>
      <c r="L45" s="106">
        <f>H45-J45</f>
        <v>0</v>
      </c>
      <c r="M45" s="123"/>
    </row>
    <row r="46" spans="1:13" ht="15" hidden="1" customHeight="1" x14ac:dyDescent="0.25">
      <c r="A46" s="127"/>
      <c r="B46" s="91" t="s">
        <v>137</v>
      </c>
      <c r="C46" s="103"/>
      <c r="D46" s="104">
        <v>0</v>
      </c>
      <c r="E46" s="105"/>
      <c r="F46" s="104">
        <v>0</v>
      </c>
      <c r="G46" s="105"/>
      <c r="H46" s="106">
        <f>+D46+F46</f>
        <v>0</v>
      </c>
      <c r="I46" s="105"/>
      <c r="J46" s="106">
        <v>0</v>
      </c>
      <c r="K46" s="107"/>
      <c r="L46" s="106">
        <f>H46-J46</f>
        <v>0</v>
      </c>
      <c r="M46" s="123"/>
    </row>
    <row r="47" spans="1:13" ht="15" customHeight="1" x14ac:dyDescent="0.25">
      <c r="A47" s="127">
        <v>43543</v>
      </c>
      <c r="B47" s="91" t="s">
        <v>232</v>
      </c>
      <c r="C47" s="103"/>
      <c r="D47" s="104"/>
      <c r="E47" s="105"/>
      <c r="F47" s="104">
        <v>250</v>
      </c>
      <c r="G47" s="105"/>
      <c r="H47" s="106">
        <f>+D47+F47</f>
        <v>250</v>
      </c>
      <c r="I47" s="105"/>
      <c r="J47" s="106">
        <v>0</v>
      </c>
      <c r="K47" s="107"/>
      <c r="L47" s="106">
        <f>H47-J47</f>
        <v>250</v>
      </c>
      <c r="M47" s="123"/>
    </row>
    <row r="48" spans="1:13" ht="15" customHeight="1" x14ac:dyDescent="0.25">
      <c r="A48" s="127">
        <v>43571</v>
      </c>
      <c r="B48" s="91" t="s">
        <v>250</v>
      </c>
      <c r="C48" s="103"/>
      <c r="D48" s="104"/>
      <c r="E48" s="105"/>
      <c r="F48" s="104">
        <v>2150</v>
      </c>
      <c r="G48" s="105"/>
      <c r="H48" s="106">
        <f>+D48+F48</f>
        <v>2150</v>
      </c>
      <c r="I48" s="105"/>
      <c r="J48" s="106">
        <v>950</v>
      </c>
      <c r="K48" s="107"/>
      <c r="L48" s="106">
        <f>H48-J48</f>
        <v>1200</v>
      </c>
      <c r="M48" s="123"/>
    </row>
    <row r="49" spans="1:14" ht="15" hidden="1" customHeight="1" x14ac:dyDescent="0.25">
      <c r="A49" s="127"/>
      <c r="B49" s="91" t="s">
        <v>111</v>
      </c>
      <c r="C49" s="103"/>
      <c r="D49" s="104">
        <v>0</v>
      </c>
      <c r="E49" s="105"/>
      <c r="F49" s="104">
        <v>0</v>
      </c>
      <c r="G49" s="105"/>
      <c r="H49" s="106">
        <f>+D49+F49</f>
        <v>0</v>
      </c>
      <c r="I49" s="105"/>
      <c r="J49" s="106">
        <v>0</v>
      </c>
      <c r="K49" s="107"/>
      <c r="L49" s="106">
        <f>H49-J49</f>
        <v>0</v>
      </c>
      <c r="M49" s="125"/>
    </row>
    <row r="50" spans="1:14" ht="15" hidden="1" customHeight="1" x14ac:dyDescent="0.25">
      <c r="A50" s="127"/>
      <c r="B50" s="91" t="s">
        <v>111</v>
      </c>
      <c r="C50" s="103"/>
      <c r="D50" s="104">
        <v>0</v>
      </c>
      <c r="E50" s="105"/>
      <c r="F50" s="104">
        <v>0</v>
      </c>
      <c r="G50" s="105"/>
      <c r="H50" s="106">
        <f>+D50+F50</f>
        <v>0</v>
      </c>
      <c r="I50" s="105"/>
      <c r="J50" s="106">
        <v>0</v>
      </c>
      <c r="K50" s="107"/>
      <c r="L50" s="106">
        <f>H50-J50</f>
        <v>0</v>
      </c>
      <c r="M50" s="125"/>
      <c r="N50" s="55"/>
    </row>
    <row r="51" spans="1:14" ht="15" customHeight="1" x14ac:dyDescent="0.25">
      <c r="A51" s="127">
        <v>43571</v>
      </c>
      <c r="B51" s="91" t="s">
        <v>249</v>
      </c>
      <c r="C51" s="103"/>
      <c r="D51" s="104"/>
      <c r="E51" s="105"/>
      <c r="F51" s="104">
        <v>400</v>
      </c>
      <c r="G51" s="105"/>
      <c r="H51" s="106">
        <f>+D51+F51</f>
        <v>400</v>
      </c>
      <c r="I51" s="105"/>
      <c r="J51" s="106"/>
      <c r="K51" s="107"/>
      <c r="L51" s="106">
        <f>H51-J51</f>
        <v>400</v>
      </c>
      <c r="M51" s="123"/>
    </row>
    <row r="52" spans="1:14" ht="15" hidden="1" customHeight="1" x14ac:dyDescent="0.25">
      <c r="A52" s="127"/>
      <c r="B52" s="91" t="s">
        <v>112</v>
      </c>
      <c r="C52" s="103"/>
      <c r="D52" s="104">
        <v>0</v>
      </c>
      <c r="E52" s="105"/>
      <c r="F52" s="104">
        <v>0</v>
      </c>
      <c r="G52" s="105"/>
      <c r="H52" s="106">
        <f>+D52+F52</f>
        <v>0</v>
      </c>
      <c r="I52" s="105"/>
      <c r="J52" s="106">
        <v>0</v>
      </c>
      <c r="K52" s="107"/>
      <c r="L52" s="106">
        <f>H52-J52</f>
        <v>0</v>
      </c>
      <c r="M52" s="123"/>
    </row>
    <row r="53" spans="1:14" ht="15" customHeight="1" x14ac:dyDescent="0.25">
      <c r="A53" s="127">
        <v>43543</v>
      </c>
      <c r="B53" s="91" t="s">
        <v>231</v>
      </c>
      <c r="C53" s="103"/>
      <c r="D53" s="104"/>
      <c r="E53" s="105"/>
      <c r="F53" s="104">
        <v>400</v>
      </c>
      <c r="G53" s="105"/>
      <c r="H53" s="106">
        <f>+D53+F53</f>
        <v>400</v>
      </c>
      <c r="I53" s="105"/>
      <c r="J53" s="106">
        <v>177.36</v>
      </c>
      <c r="K53" s="107"/>
      <c r="L53" s="106">
        <f>H53-J53</f>
        <v>222.64</v>
      </c>
      <c r="M53" s="123"/>
    </row>
    <row r="54" spans="1:14" ht="15" customHeight="1" x14ac:dyDescent="0.25">
      <c r="A54" s="127">
        <v>43571</v>
      </c>
      <c r="B54" s="91" t="s">
        <v>252</v>
      </c>
      <c r="C54" s="103"/>
      <c r="D54" s="104"/>
      <c r="E54" s="105"/>
      <c r="F54" s="104">
        <v>600</v>
      </c>
      <c r="G54" s="105"/>
      <c r="H54" s="106">
        <f>+D54+F54</f>
        <v>600</v>
      </c>
      <c r="I54" s="105"/>
      <c r="J54" s="106"/>
      <c r="K54" s="107"/>
      <c r="L54" s="106">
        <f>H54-J54</f>
        <v>600</v>
      </c>
      <c r="M54" s="125"/>
    </row>
    <row r="55" spans="1:14" ht="15" customHeight="1" x14ac:dyDescent="0.25">
      <c r="A55" s="127">
        <v>43571</v>
      </c>
      <c r="B55" s="91" t="s">
        <v>251</v>
      </c>
      <c r="C55" s="103"/>
      <c r="D55" s="104"/>
      <c r="E55" s="105"/>
      <c r="F55" s="104">
        <v>700</v>
      </c>
      <c r="G55" s="105"/>
      <c r="H55" s="106">
        <f>+D55+F55</f>
        <v>700</v>
      </c>
      <c r="I55" s="105"/>
      <c r="J55" s="106"/>
      <c r="K55" s="107"/>
      <c r="L55" s="106">
        <f>H55-J55</f>
        <v>700</v>
      </c>
      <c r="M55" s="125"/>
    </row>
    <row r="56" spans="1:14" ht="15" customHeight="1" x14ac:dyDescent="0.25">
      <c r="A56" s="127">
        <v>43382</v>
      </c>
      <c r="B56" s="91" t="s">
        <v>177</v>
      </c>
      <c r="C56" s="103"/>
      <c r="D56" s="104">
        <v>0</v>
      </c>
      <c r="E56" s="105"/>
      <c r="F56" s="104">
        <v>650</v>
      </c>
      <c r="G56" s="105"/>
      <c r="H56" s="106">
        <f>+D56+F56</f>
        <v>650</v>
      </c>
      <c r="I56" s="105"/>
      <c r="J56" s="106">
        <v>0</v>
      </c>
      <c r="K56" s="107"/>
      <c r="L56" s="106">
        <f>H56-J56</f>
        <v>650</v>
      </c>
      <c r="M56" s="123"/>
    </row>
    <row r="57" spans="1:14" ht="15" customHeight="1" x14ac:dyDescent="0.25">
      <c r="A57" s="127">
        <v>43515</v>
      </c>
      <c r="B57" s="91" t="s">
        <v>215</v>
      </c>
      <c r="C57" s="103"/>
      <c r="D57" s="104"/>
      <c r="E57" s="105"/>
      <c r="F57" s="104">
        <v>400</v>
      </c>
      <c r="G57" s="105"/>
      <c r="H57" s="106">
        <f>+D57+F57</f>
        <v>400</v>
      </c>
      <c r="I57" s="105"/>
      <c r="J57" s="106"/>
      <c r="K57" s="107"/>
      <c r="L57" s="106">
        <f>H57-J57</f>
        <v>400</v>
      </c>
      <c r="M57" s="123"/>
    </row>
    <row r="58" spans="1:14" ht="15" customHeight="1" x14ac:dyDescent="0.25">
      <c r="A58" s="127">
        <v>43529</v>
      </c>
      <c r="B58" s="91" t="s">
        <v>215</v>
      </c>
      <c r="C58" s="103"/>
      <c r="D58" s="104"/>
      <c r="E58" s="105"/>
      <c r="F58" s="104">
        <v>2813</v>
      </c>
      <c r="G58" s="105"/>
      <c r="H58" s="106">
        <f>+D58+F58</f>
        <v>2813</v>
      </c>
      <c r="I58" s="105"/>
      <c r="J58" s="106">
        <v>2003.88</v>
      </c>
      <c r="K58" s="107"/>
      <c r="L58" s="106">
        <f>H58-J58</f>
        <v>809.11999999999989</v>
      </c>
      <c r="M58" s="123"/>
    </row>
    <row r="59" spans="1:14" ht="15" customHeight="1" x14ac:dyDescent="0.25">
      <c r="A59" s="127">
        <v>43433</v>
      </c>
      <c r="B59" s="91" t="s">
        <v>104</v>
      </c>
      <c r="C59" s="103"/>
      <c r="D59" s="104">
        <v>0</v>
      </c>
      <c r="E59" s="105"/>
      <c r="F59" s="104">
        <v>1518</v>
      </c>
      <c r="G59" s="105"/>
      <c r="H59" s="106">
        <f>+D59+F59</f>
        <v>1518</v>
      </c>
      <c r="I59" s="105"/>
      <c r="J59" s="106">
        <v>0</v>
      </c>
      <c r="K59" s="107"/>
      <c r="L59" s="106">
        <f>H59-J59</f>
        <v>1518</v>
      </c>
      <c r="M59" s="123"/>
    </row>
    <row r="60" spans="1:14" ht="15" customHeight="1" x14ac:dyDescent="0.3">
      <c r="A60" s="127">
        <v>43529</v>
      </c>
      <c r="B60" s="91" t="s">
        <v>131</v>
      </c>
      <c r="C60" s="103"/>
      <c r="D60" s="104"/>
      <c r="E60" s="105"/>
      <c r="F60" s="104">
        <v>2000</v>
      </c>
      <c r="G60" s="105"/>
      <c r="H60" s="106">
        <f>+D60+F60</f>
        <v>2000</v>
      </c>
      <c r="I60" s="105"/>
      <c r="J60" s="106"/>
      <c r="K60" s="107"/>
      <c r="L60" s="106">
        <f>H60-J60</f>
        <v>2000</v>
      </c>
      <c r="M60" s="123"/>
    </row>
    <row r="61" spans="1:14" ht="15" customHeight="1" x14ac:dyDescent="0.3">
      <c r="A61" s="127">
        <v>43382</v>
      </c>
      <c r="B61" s="91" t="s">
        <v>178</v>
      </c>
      <c r="C61" s="103"/>
      <c r="D61" s="104">
        <v>0</v>
      </c>
      <c r="E61" s="105"/>
      <c r="F61" s="104">
        <v>1000</v>
      </c>
      <c r="G61" s="105"/>
      <c r="H61" s="106">
        <f>+D61+F61</f>
        <v>1000</v>
      </c>
      <c r="I61" s="105"/>
      <c r="J61" s="106">
        <v>830</v>
      </c>
      <c r="K61" s="107"/>
      <c r="L61" s="106">
        <f>H61-J61</f>
        <v>170</v>
      </c>
      <c r="M61" s="125"/>
    </row>
    <row r="62" spans="1:14" ht="15" customHeight="1" x14ac:dyDescent="0.25">
      <c r="A62" s="127">
        <v>43411</v>
      </c>
      <c r="B62" s="91" t="s">
        <v>178</v>
      </c>
      <c r="C62" s="103"/>
      <c r="D62" s="104">
        <v>0</v>
      </c>
      <c r="E62" s="105"/>
      <c r="F62" s="104">
        <v>595</v>
      </c>
      <c r="G62" s="105"/>
      <c r="H62" s="106">
        <f>+D62+F62</f>
        <v>595</v>
      </c>
      <c r="I62" s="105"/>
      <c r="J62" s="106">
        <v>519</v>
      </c>
      <c r="K62" s="107"/>
      <c r="L62" s="106">
        <f>H62-J62</f>
        <v>76</v>
      </c>
      <c r="M62" s="125"/>
    </row>
    <row r="63" spans="1:14" ht="15" hidden="1" customHeight="1" x14ac:dyDescent="0.3">
      <c r="A63" s="127"/>
      <c r="B63" s="91" t="s">
        <v>140</v>
      </c>
      <c r="C63" s="103"/>
      <c r="D63" s="104">
        <v>0</v>
      </c>
      <c r="E63" s="105"/>
      <c r="F63" s="104">
        <v>0</v>
      </c>
      <c r="G63" s="105"/>
      <c r="H63" s="106">
        <f>+D63+F63</f>
        <v>0</v>
      </c>
      <c r="I63" s="105"/>
      <c r="J63" s="106">
        <v>0</v>
      </c>
      <c r="K63" s="107"/>
      <c r="L63" s="106">
        <f>H63-J63</f>
        <v>0</v>
      </c>
      <c r="M63" s="123"/>
    </row>
    <row r="64" spans="1:14" ht="15" customHeight="1" x14ac:dyDescent="0.25">
      <c r="A64" s="127">
        <v>43543</v>
      </c>
      <c r="B64" s="91" t="s">
        <v>233</v>
      </c>
      <c r="C64" s="103"/>
      <c r="D64" s="104"/>
      <c r="E64" s="105"/>
      <c r="F64" s="104">
        <v>1636</v>
      </c>
      <c r="G64" s="105"/>
      <c r="H64" s="106">
        <f>+D64+F64</f>
        <v>1636</v>
      </c>
      <c r="I64" s="105"/>
      <c r="J64" s="106">
        <f>1440+532.68</f>
        <v>1972.6799999999998</v>
      </c>
      <c r="K64" s="107"/>
      <c r="L64" s="106">
        <f>H64-J64</f>
        <v>-336.67999999999984</v>
      </c>
      <c r="M64" s="125"/>
    </row>
    <row r="65" spans="1:13" ht="15" customHeight="1" x14ac:dyDescent="0.25">
      <c r="A65" s="127">
        <v>43382</v>
      </c>
      <c r="B65" s="91" t="s">
        <v>134</v>
      </c>
      <c r="C65" s="103"/>
      <c r="D65" s="104">
        <v>0</v>
      </c>
      <c r="E65" s="105"/>
      <c r="F65" s="104">
        <v>800</v>
      </c>
      <c r="G65" s="105"/>
      <c r="H65" s="106">
        <f>+D65+F65</f>
        <v>800</v>
      </c>
      <c r="I65" s="105"/>
      <c r="J65" s="106">
        <v>779.5</v>
      </c>
      <c r="K65" s="107"/>
      <c r="L65" s="106">
        <f>H65-J65</f>
        <v>20.5</v>
      </c>
      <c r="M65" s="125"/>
    </row>
    <row r="66" spans="1:13" ht="15" customHeight="1" x14ac:dyDescent="0.25">
      <c r="A66" s="127">
        <v>43382</v>
      </c>
      <c r="B66" s="91" t="s">
        <v>135</v>
      </c>
      <c r="C66" s="103"/>
      <c r="D66" s="104">
        <v>0</v>
      </c>
      <c r="E66" s="105"/>
      <c r="F66" s="104">
        <f>278+1300</f>
        <v>1578</v>
      </c>
      <c r="G66" s="105"/>
      <c r="H66" s="106">
        <f>+D66+F66</f>
        <v>1578</v>
      </c>
      <c r="I66" s="105"/>
      <c r="J66" s="106">
        <v>1578.35</v>
      </c>
      <c r="K66" s="107"/>
      <c r="L66" s="106">
        <f>H66-J66</f>
        <v>-0.34999999999990905</v>
      </c>
      <c r="M66" s="125"/>
    </row>
    <row r="67" spans="1:13" ht="15" customHeight="1" x14ac:dyDescent="0.25">
      <c r="A67" s="127">
        <v>43433</v>
      </c>
      <c r="B67" s="91" t="s">
        <v>135</v>
      </c>
      <c r="C67" s="103"/>
      <c r="D67" s="104">
        <v>0</v>
      </c>
      <c r="E67" s="105"/>
      <c r="F67" s="104">
        <f>580-278</f>
        <v>302</v>
      </c>
      <c r="G67" s="105"/>
      <c r="H67" s="106">
        <f>+D67+F67</f>
        <v>302</v>
      </c>
      <c r="I67" s="105"/>
      <c r="J67" s="106">
        <v>0</v>
      </c>
      <c r="K67" s="107"/>
      <c r="L67" s="106">
        <f>H67-J67</f>
        <v>302</v>
      </c>
      <c r="M67" s="125"/>
    </row>
    <row r="68" spans="1:13" ht="15" customHeight="1" x14ac:dyDescent="0.25">
      <c r="A68" s="127">
        <v>43515</v>
      </c>
      <c r="B68" s="91" t="s">
        <v>135</v>
      </c>
      <c r="C68" s="103"/>
      <c r="D68" s="104"/>
      <c r="E68" s="105"/>
      <c r="F68" s="104">
        <v>700</v>
      </c>
      <c r="G68" s="105"/>
      <c r="H68" s="106">
        <f>+D68+F68</f>
        <v>700</v>
      </c>
      <c r="I68" s="105"/>
      <c r="J68" s="106"/>
      <c r="K68" s="107"/>
      <c r="L68" s="106">
        <f>H68-J68</f>
        <v>700</v>
      </c>
      <c r="M68" s="125"/>
    </row>
    <row r="69" spans="1:13" ht="15" customHeight="1" x14ac:dyDescent="0.25">
      <c r="A69" s="127">
        <v>43529</v>
      </c>
      <c r="B69" s="91" t="s">
        <v>135</v>
      </c>
      <c r="C69" s="103"/>
      <c r="D69" s="104"/>
      <c r="E69" s="105"/>
      <c r="F69" s="104">
        <v>500</v>
      </c>
      <c r="G69" s="105"/>
      <c r="H69" s="106">
        <f>+D69+F69</f>
        <v>500</v>
      </c>
      <c r="I69" s="105"/>
      <c r="J69" s="106">
        <v>299.39999999999998</v>
      </c>
      <c r="K69" s="107"/>
      <c r="L69" s="106">
        <f>H69-J69</f>
        <v>200.60000000000002</v>
      </c>
      <c r="M69" s="125"/>
    </row>
    <row r="70" spans="1:13" ht="15" customHeight="1" x14ac:dyDescent="0.25">
      <c r="A70" s="127">
        <v>43515</v>
      </c>
      <c r="B70" s="91" t="s">
        <v>216</v>
      </c>
      <c r="C70" s="103"/>
      <c r="D70" s="104"/>
      <c r="E70" s="105"/>
      <c r="F70" s="104">
        <v>750</v>
      </c>
      <c r="G70" s="105"/>
      <c r="H70" s="106">
        <f>+D70+F70</f>
        <v>750</v>
      </c>
      <c r="I70" s="105"/>
      <c r="J70" s="106"/>
      <c r="K70" s="107"/>
      <c r="L70" s="106">
        <f>H70-J70</f>
        <v>750</v>
      </c>
      <c r="M70" s="125"/>
    </row>
    <row r="71" spans="1:13" ht="15" customHeight="1" x14ac:dyDescent="0.25">
      <c r="A71" s="127">
        <v>43571</v>
      </c>
      <c r="B71" s="91" t="s">
        <v>253</v>
      </c>
      <c r="C71" s="103"/>
      <c r="D71" s="104"/>
      <c r="E71" s="105"/>
      <c r="F71" s="104">
        <v>900</v>
      </c>
      <c r="G71" s="105"/>
      <c r="H71" s="106">
        <f>+D71+F71</f>
        <v>900</v>
      </c>
      <c r="I71" s="105"/>
      <c r="J71" s="106">
        <v>897.57</v>
      </c>
      <c r="K71" s="107"/>
      <c r="L71" s="106">
        <f>H71-J71</f>
        <v>2.42999999999995</v>
      </c>
      <c r="M71" s="125"/>
    </row>
    <row r="72" spans="1:13" ht="15" customHeight="1" x14ac:dyDescent="0.25">
      <c r="A72" s="127">
        <v>43382</v>
      </c>
      <c r="B72" s="91" t="s">
        <v>179</v>
      </c>
      <c r="C72" s="103"/>
      <c r="D72" s="104">
        <v>0</v>
      </c>
      <c r="E72" s="105"/>
      <c r="F72" s="104">
        <v>1430</v>
      </c>
      <c r="G72" s="105"/>
      <c r="H72" s="106">
        <f>+D72+F72</f>
        <v>1430</v>
      </c>
      <c r="I72" s="105"/>
      <c r="J72" s="106">
        <f>1241-52.58</f>
        <v>1188.42</v>
      </c>
      <c r="K72" s="107"/>
      <c r="L72" s="106">
        <f>H72-J72</f>
        <v>241.57999999999993</v>
      </c>
      <c r="M72" s="125"/>
    </row>
    <row r="73" spans="1:13" ht="15" customHeight="1" x14ac:dyDescent="0.25">
      <c r="A73" s="127">
        <v>43411</v>
      </c>
      <c r="B73" s="91" t="s">
        <v>179</v>
      </c>
      <c r="C73" s="103"/>
      <c r="D73" s="104">
        <v>0</v>
      </c>
      <c r="E73" s="105"/>
      <c r="F73" s="104">
        <v>723</v>
      </c>
      <c r="G73" s="105"/>
      <c r="H73" s="106">
        <f>+D73+F73</f>
        <v>723</v>
      </c>
      <c r="I73" s="105"/>
      <c r="J73" s="106">
        <f>279.7+244.11</f>
        <v>523.80999999999995</v>
      </c>
      <c r="K73" s="107"/>
      <c r="L73" s="106">
        <f>H73-J73</f>
        <v>199.19000000000005</v>
      </c>
      <c r="M73" s="125"/>
    </row>
    <row r="74" spans="1:13" ht="15" customHeight="1" x14ac:dyDescent="0.25">
      <c r="A74" s="127">
        <v>43515</v>
      </c>
      <c r="B74" s="91" t="s">
        <v>217</v>
      </c>
      <c r="C74" s="103"/>
      <c r="D74" s="104"/>
      <c r="E74" s="105"/>
      <c r="F74" s="104">
        <v>1592</v>
      </c>
      <c r="G74" s="105"/>
      <c r="H74" s="106">
        <f>+D74+F74</f>
        <v>1592</v>
      </c>
      <c r="I74" s="105"/>
      <c r="J74" s="106">
        <f>536.67+959.3</f>
        <v>1495.9699999999998</v>
      </c>
      <c r="K74" s="107"/>
      <c r="L74" s="106">
        <f>H74-J74</f>
        <v>96.0300000000002</v>
      </c>
      <c r="M74" s="125"/>
    </row>
    <row r="75" spans="1:13" ht="15" customHeight="1" x14ac:dyDescent="0.25">
      <c r="A75" s="127">
        <v>43571</v>
      </c>
      <c r="B75" s="91" t="s">
        <v>255</v>
      </c>
      <c r="C75" s="103"/>
      <c r="D75" s="104"/>
      <c r="E75" s="105"/>
      <c r="F75" s="104">
        <v>450</v>
      </c>
      <c r="G75" s="105"/>
      <c r="H75" s="106">
        <f>+D75+F75</f>
        <v>450</v>
      </c>
      <c r="I75" s="105"/>
      <c r="J75" s="106">
        <v>449.66</v>
      </c>
      <c r="K75" s="107"/>
      <c r="L75" s="106">
        <f>H75-J75</f>
        <v>0.33999999999997499</v>
      </c>
      <c r="M75" s="125"/>
    </row>
    <row r="76" spans="1:13" ht="15" customHeight="1" x14ac:dyDescent="0.25">
      <c r="A76" s="127">
        <v>43529</v>
      </c>
      <c r="B76" s="91" t="s">
        <v>222</v>
      </c>
      <c r="C76" s="103"/>
      <c r="D76" s="104"/>
      <c r="E76" s="105"/>
      <c r="F76" s="104">
        <v>1518</v>
      </c>
      <c r="G76" s="105"/>
      <c r="H76" s="106">
        <f>+D76+F76</f>
        <v>1518</v>
      </c>
      <c r="I76" s="105"/>
      <c r="J76" s="106"/>
      <c r="K76" s="107"/>
      <c r="L76" s="106">
        <f>H76-J76</f>
        <v>1518</v>
      </c>
      <c r="M76" s="125"/>
    </row>
    <row r="77" spans="1:13" s="4" customFormat="1" ht="15" customHeight="1" x14ac:dyDescent="0.25">
      <c r="A77" s="127">
        <v>43382</v>
      </c>
      <c r="B77" s="91" t="s">
        <v>180</v>
      </c>
      <c r="C77" s="103"/>
      <c r="D77" s="104">
        <v>0</v>
      </c>
      <c r="E77" s="105"/>
      <c r="F77" s="104">
        <v>1520</v>
      </c>
      <c r="G77" s="105"/>
      <c r="H77" s="106">
        <f>+D77+F77</f>
        <v>1520</v>
      </c>
      <c r="I77" s="105"/>
      <c r="J77" s="106">
        <v>1205.6300000000001</v>
      </c>
      <c r="K77" s="107"/>
      <c r="L77" s="106">
        <f>H77-J77</f>
        <v>314.36999999999989</v>
      </c>
      <c r="M77" s="179"/>
    </row>
    <row r="78" spans="1:13" ht="15" customHeight="1" x14ac:dyDescent="0.25">
      <c r="A78" s="127">
        <v>43543</v>
      </c>
      <c r="B78" s="91" t="s">
        <v>230</v>
      </c>
      <c r="C78" s="103"/>
      <c r="D78" s="104"/>
      <c r="E78" s="105"/>
      <c r="F78" s="104">
        <v>348</v>
      </c>
      <c r="G78" s="105"/>
      <c r="H78" s="106">
        <f>+D78+F78</f>
        <v>348</v>
      </c>
      <c r="I78" s="105"/>
      <c r="J78" s="106"/>
      <c r="K78" s="107"/>
      <c r="L78" s="106">
        <f>H78-J78</f>
        <v>348</v>
      </c>
      <c r="M78" s="125"/>
    </row>
    <row r="79" spans="1:13" ht="15" customHeight="1" x14ac:dyDescent="0.25">
      <c r="A79" s="127">
        <v>43543</v>
      </c>
      <c r="B79" s="91" t="s">
        <v>112</v>
      </c>
      <c r="C79" s="103"/>
      <c r="D79" s="104"/>
      <c r="E79" s="105"/>
      <c r="F79" s="104">
        <v>412</v>
      </c>
      <c r="G79" s="105"/>
      <c r="H79" s="106">
        <f>+D79+F79</f>
        <v>412</v>
      </c>
      <c r="I79" s="105"/>
      <c r="J79" s="106">
        <f>191+211.09</f>
        <v>402.09000000000003</v>
      </c>
      <c r="K79" s="107"/>
      <c r="L79" s="106">
        <f>H79-J79</f>
        <v>9.9099999999999682</v>
      </c>
      <c r="M79" s="125"/>
    </row>
    <row r="80" spans="1:13" ht="15" customHeight="1" x14ac:dyDescent="0.25">
      <c r="A80" s="127">
        <v>43571</v>
      </c>
      <c r="B80" s="91" t="s">
        <v>258</v>
      </c>
      <c r="C80" s="103"/>
      <c r="D80" s="104"/>
      <c r="E80" s="105"/>
      <c r="F80" s="104">
        <v>2669.84</v>
      </c>
      <c r="G80" s="105"/>
      <c r="H80" s="106">
        <f>+D80+F80</f>
        <v>2669.84</v>
      </c>
      <c r="I80" s="105"/>
      <c r="J80" s="106">
        <f>2603.31-233.08</f>
        <v>2370.23</v>
      </c>
      <c r="K80" s="107"/>
      <c r="L80" s="106">
        <f>H80-J80</f>
        <v>299.61000000000013</v>
      </c>
      <c r="M80" s="125"/>
    </row>
    <row r="81" spans="1:13" ht="15" customHeight="1" x14ac:dyDescent="0.25">
      <c r="A81" s="127">
        <v>43382</v>
      </c>
      <c r="B81" s="91" t="s">
        <v>154</v>
      </c>
      <c r="C81" s="103"/>
      <c r="D81" s="104">
        <v>0</v>
      </c>
      <c r="E81" s="105"/>
      <c r="F81" s="104">
        <v>937</v>
      </c>
      <c r="G81" s="105"/>
      <c r="H81" s="106">
        <f>+D81+F81</f>
        <v>937</v>
      </c>
      <c r="I81" s="105"/>
      <c r="J81" s="106">
        <f>150+450</f>
        <v>600</v>
      </c>
      <c r="K81" s="107"/>
      <c r="L81" s="106">
        <f>H81-J81</f>
        <v>337</v>
      </c>
      <c r="M81" s="125"/>
    </row>
    <row r="82" spans="1:13" ht="15" customHeight="1" x14ac:dyDescent="0.25">
      <c r="A82" s="127">
        <v>43529</v>
      </c>
      <c r="B82" s="91" t="s">
        <v>227</v>
      </c>
      <c r="C82" s="103"/>
      <c r="D82" s="104"/>
      <c r="E82" s="105"/>
      <c r="F82" s="104">
        <v>1950</v>
      </c>
      <c r="G82" s="105"/>
      <c r="H82" s="106">
        <f>+D82+F82</f>
        <v>1950</v>
      </c>
      <c r="I82" s="105"/>
      <c r="J82" s="106">
        <f>150+148.98+948.98</f>
        <v>1247.96</v>
      </c>
      <c r="K82" s="107"/>
      <c r="L82" s="106">
        <f>H82-J82</f>
        <v>702.04</v>
      </c>
      <c r="M82" s="125"/>
    </row>
    <row r="83" spans="1:13" ht="15" customHeight="1" x14ac:dyDescent="0.25">
      <c r="A83" s="127">
        <v>43515</v>
      </c>
      <c r="B83" s="91" t="s">
        <v>219</v>
      </c>
      <c r="C83" s="103"/>
      <c r="D83" s="104"/>
      <c r="E83" s="105"/>
      <c r="F83" s="104">
        <v>1000</v>
      </c>
      <c r="G83" s="105"/>
      <c r="H83" s="106">
        <f>+D83+F83</f>
        <v>1000</v>
      </c>
      <c r="I83" s="105"/>
      <c r="J83" s="106"/>
      <c r="K83" s="107"/>
      <c r="L83" s="106">
        <f>H83-J83</f>
        <v>1000</v>
      </c>
      <c r="M83" s="125"/>
    </row>
    <row r="84" spans="1:13" ht="15" customHeight="1" x14ac:dyDescent="0.25">
      <c r="A84" s="127">
        <v>43382</v>
      </c>
      <c r="B84" s="91" t="s">
        <v>181</v>
      </c>
      <c r="C84" s="103"/>
      <c r="D84" s="104">
        <v>0</v>
      </c>
      <c r="E84" s="105"/>
      <c r="F84" s="104">
        <v>2000</v>
      </c>
      <c r="G84" s="105"/>
      <c r="H84" s="106">
        <f>+D84+F84</f>
        <v>2000</v>
      </c>
      <c r="I84" s="105"/>
      <c r="J84" s="106">
        <v>814.45</v>
      </c>
      <c r="K84" s="107"/>
      <c r="L84" s="106">
        <f>H84-J84</f>
        <v>1185.55</v>
      </c>
      <c r="M84" s="125"/>
    </row>
    <row r="85" spans="1:13" ht="15" customHeight="1" x14ac:dyDescent="0.25">
      <c r="A85" s="127">
        <v>43411</v>
      </c>
      <c r="B85" s="91" t="s">
        <v>181</v>
      </c>
      <c r="C85" s="103"/>
      <c r="D85" s="104">
        <v>0</v>
      </c>
      <c r="E85" s="105"/>
      <c r="F85" s="104">
        <v>450</v>
      </c>
      <c r="G85" s="105"/>
      <c r="H85" s="106">
        <f>+D85+F85</f>
        <v>450</v>
      </c>
      <c r="I85" s="105"/>
      <c r="J85" s="106">
        <v>0</v>
      </c>
      <c r="K85" s="107"/>
      <c r="L85" s="106">
        <f>H85-J85</f>
        <v>450</v>
      </c>
      <c r="M85" s="125"/>
    </row>
    <row r="86" spans="1:13" ht="15" customHeight="1" x14ac:dyDescent="0.25">
      <c r="A86" s="127">
        <v>43529</v>
      </c>
      <c r="B86" s="91" t="s">
        <v>225</v>
      </c>
      <c r="C86" s="103"/>
      <c r="D86" s="104"/>
      <c r="E86" s="105"/>
      <c r="F86" s="104">
        <v>250</v>
      </c>
      <c r="G86" s="105"/>
      <c r="H86" s="106">
        <f>+D86+F86</f>
        <v>250</v>
      </c>
      <c r="I86" s="105"/>
      <c r="J86" s="106">
        <v>0</v>
      </c>
      <c r="K86" s="107"/>
      <c r="L86" s="106">
        <f>H86-J86</f>
        <v>250</v>
      </c>
      <c r="M86" s="125"/>
    </row>
    <row r="87" spans="1:13" ht="15" customHeight="1" x14ac:dyDescent="0.25">
      <c r="A87" s="127">
        <v>43529</v>
      </c>
      <c r="B87" s="91" t="s">
        <v>223</v>
      </c>
      <c r="C87" s="103"/>
      <c r="D87" s="104"/>
      <c r="E87" s="105"/>
      <c r="F87" s="104">
        <v>800</v>
      </c>
      <c r="G87" s="105"/>
      <c r="H87" s="106">
        <f>+D87+F87</f>
        <v>800</v>
      </c>
      <c r="I87" s="105"/>
      <c r="J87" s="106"/>
      <c r="K87" s="107"/>
      <c r="L87" s="106">
        <f>H87-J87</f>
        <v>800</v>
      </c>
      <c r="M87" s="125"/>
    </row>
    <row r="88" spans="1:13" ht="15" customHeight="1" x14ac:dyDescent="0.25">
      <c r="A88" s="127">
        <v>43529</v>
      </c>
      <c r="B88" s="91" t="s">
        <v>224</v>
      </c>
      <c r="C88" s="103"/>
      <c r="D88" s="104"/>
      <c r="E88" s="105"/>
      <c r="F88" s="104">
        <v>400</v>
      </c>
      <c r="G88" s="105"/>
      <c r="H88" s="106">
        <f>+D88+F88</f>
        <v>400</v>
      </c>
      <c r="I88" s="105"/>
      <c r="J88" s="106">
        <v>335.81</v>
      </c>
      <c r="K88" s="107"/>
      <c r="L88" s="106">
        <f>H88-J88</f>
        <v>64.19</v>
      </c>
      <c r="M88" s="125"/>
    </row>
    <row r="89" spans="1:13" ht="15" customHeight="1" x14ac:dyDescent="0.25">
      <c r="A89" s="127">
        <v>43382</v>
      </c>
      <c r="B89" s="91" t="s">
        <v>138</v>
      </c>
      <c r="C89" s="103"/>
      <c r="D89" s="104">
        <v>0</v>
      </c>
      <c r="E89" s="105"/>
      <c r="F89" s="104">
        <v>300</v>
      </c>
      <c r="G89" s="105"/>
      <c r="H89" s="106">
        <f>+D89+F89</f>
        <v>300</v>
      </c>
      <c r="I89" s="105"/>
      <c r="J89" s="106">
        <v>0</v>
      </c>
      <c r="K89" s="107"/>
      <c r="L89" s="106">
        <f>H89-J89</f>
        <v>300</v>
      </c>
      <c r="M89" s="125"/>
    </row>
    <row r="90" spans="1:13" ht="15" customHeight="1" x14ac:dyDescent="0.25">
      <c r="A90" s="127">
        <v>43433</v>
      </c>
      <c r="B90" s="91" t="s">
        <v>138</v>
      </c>
      <c r="C90" s="103"/>
      <c r="D90" s="104">
        <v>0</v>
      </c>
      <c r="E90" s="105"/>
      <c r="F90" s="104">
        <v>1000</v>
      </c>
      <c r="G90" s="105"/>
      <c r="H90" s="106">
        <f>+D90+F90</f>
        <v>1000</v>
      </c>
      <c r="I90" s="105"/>
      <c r="J90" s="106">
        <v>894.41</v>
      </c>
      <c r="K90" s="107"/>
      <c r="L90" s="106">
        <f>H90-J90</f>
        <v>105.59000000000003</v>
      </c>
      <c r="M90" s="125"/>
    </row>
    <row r="91" spans="1:13" ht="15" customHeight="1" x14ac:dyDescent="0.25">
      <c r="A91" s="127">
        <v>43382</v>
      </c>
      <c r="B91" s="91" t="s">
        <v>139</v>
      </c>
      <c r="C91" s="103"/>
      <c r="D91" s="104">
        <v>0</v>
      </c>
      <c r="E91" s="105"/>
      <c r="F91" s="104">
        <v>1450</v>
      </c>
      <c r="G91" s="105"/>
      <c r="H91" s="106">
        <f>+D91+F91</f>
        <v>1450</v>
      </c>
      <c r="I91" s="105"/>
      <c r="J91" s="106">
        <v>593</v>
      </c>
      <c r="K91" s="107"/>
      <c r="L91" s="106">
        <f>H91-J91</f>
        <v>857</v>
      </c>
      <c r="M91" s="125"/>
    </row>
    <row r="92" spans="1:13" ht="15" customHeight="1" x14ac:dyDescent="0.25">
      <c r="A92" s="127">
        <v>43529</v>
      </c>
      <c r="B92" s="91" t="s">
        <v>139</v>
      </c>
      <c r="C92" s="103"/>
      <c r="D92" s="104"/>
      <c r="E92" s="105"/>
      <c r="F92" s="104">
        <v>931</v>
      </c>
      <c r="G92" s="105"/>
      <c r="H92" s="106">
        <f>+D92+F92</f>
        <v>931</v>
      </c>
      <c r="I92" s="105"/>
      <c r="J92" s="106">
        <v>677.92</v>
      </c>
      <c r="K92" s="107"/>
      <c r="L92" s="106">
        <f>H92-J92</f>
        <v>253.08000000000004</v>
      </c>
      <c r="M92" s="125"/>
    </row>
    <row r="93" spans="1:13" ht="15" customHeight="1" x14ac:dyDescent="0.25">
      <c r="A93" s="127">
        <v>43529</v>
      </c>
      <c r="B93" s="91" t="s">
        <v>139</v>
      </c>
      <c r="C93" s="103"/>
      <c r="D93" s="104"/>
      <c r="E93" s="105"/>
      <c r="F93" s="104">
        <v>583.1</v>
      </c>
      <c r="G93" s="105"/>
      <c r="H93" s="106">
        <f>+D93+F93</f>
        <v>583.1</v>
      </c>
      <c r="I93" s="105"/>
      <c r="J93" s="106">
        <v>522.58000000000004</v>
      </c>
      <c r="K93" s="107"/>
      <c r="L93" s="106">
        <f>H93-J93</f>
        <v>60.519999999999982</v>
      </c>
      <c r="M93" s="125"/>
    </row>
    <row r="94" spans="1:13" ht="15" customHeight="1" x14ac:dyDescent="0.25">
      <c r="A94" s="127">
        <v>43529</v>
      </c>
      <c r="B94" s="91" t="s">
        <v>226</v>
      </c>
      <c r="C94" s="103"/>
      <c r="D94" s="104"/>
      <c r="E94" s="105"/>
      <c r="F94" s="104">
        <v>1200</v>
      </c>
      <c r="G94" s="105"/>
      <c r="H94" s="106">
        <f>+D94+F94</f>
        <v>1200</v>
      </c>
      <c r="I94" s="105"/>
      <c r="J94" s="106">
        <v>0</v>
      </c>
      <c r="K94" s="107"/>
      <c r="L94" s="106">
        <f>H94-J94</f>
        <v>1200</v>
      </c>
      <c r="M94" s="125"/>
    </row>
    <row r="95" spans="1:13" ht="15" customHeight="1" x14ac:dyDescent="0.25">
      <c r="A95" s="127">
        <v>43571</v>
      </c>
      <c r="B95" s="91" t="s">
        <v>256</v>
      </c>
      <c r="C95" s="103"/>
      <c r="D95" s="104"/>
      <c r="E95" s="105"/>
      <c r="F95" s="104">
        <v>1000</v>
      </c>
      <c r="G95" s="105"/>
      <c r="H95" s="106">
        <f>+D95+F95</f>
        <v>1000</v>
      </c>
      <c r="I95" s="105"/>
      <c r="J95" s="106">
        <v>745.23</v>
      </c>
      <c r="K95" s="107"/>
      <c r="L95" s="106">
        <f>H95-J95</f>
        <v>254.76999999999998</v>
      </c>
      <c r="M95" s="125"/>
    </row>
    <row r="96" spans="1:13" ht="15" customHeight="1" x14ac:dyDescent="0.25">
      <c r="A96" s="127">
        <v>43441</v>
      </c>
      <c r="B96" s="91" t="s">
        <v>203</v>
      </c>
      <c r="C96" s="103"/>
      <c r="D96" s="104"/>
      <c r="E96" s="105"/>
      <c r="F96" s="104">
        <v>319</v>
      </c>
      <c r="G96" s="105"/>
      <c r="H96" s="106">
        <f>+D96+F96</f>
        <v>319</v>
      </c>
      <c r="I96" s="105"/>
      <c r="J96" s="106">
        <v>0</v>
      </c>
      <c r="K96" s="107"/>
      <c r="L96" s="106">
        <f>H96-J96</f>
        <v>319</v>
      </c>
      <c r="M96" s="125"/>
    </row>
    <row r="97" spans="1:13" ht="15" customHeight="1" x14ac:dyDescent="0.25">
      <c r="A97" s="127"/>
      <c r="B97" s="91" t="s">
        <v>18</v>
      </c>
      <c r="C97" s="103"/>
      <c r="D97" s="104"/>
      <c r="E97" s="105"/>
      <c r="F97" s="104"/>
      <c r="G97" s="105"/>
      <c r="H97" s="106"/>
      <c r="I97" s="105"/>
      <c r="J97" s="106"/>
      <c r="K97" s="107"/>
      <c r="L97" s="106"/>
      <c r="M97" s="125"/>
    </row>
    <row r="98" spans="1:13" ht="15" customHeight="1" x14ac:dyDescent="0.25">
      <c r="A98" s="127">
        <v>43433</v>
      </c>
      <c r="B98" s="91" t="s">
        <v>196</v>
      </c>
      <c r="C98" s="103"/>
      <c r="D98" s="104">
        <v>0</v>
      </c>
      <c r="E98" s="105"/>
      <c r="F98" s="104">
        <v>800</v>
      </c>
      <c r="G98" s="105"/>
      <c r="H98" s="106">
        <f>+D98+F98</f>
        <v>800</v>
      </c>
      <c r="I98" s="105"/>
      <c r="J98" s="106">
        <v>0</v>
      </c>
      <c r="K98" s="107"/>
      <c r="L98" s="106">
        <f>H98-J98</f>
        <v>800</v>
      </c>
      <c r="M98" s="125"/>
    </row>
    <row r="99" spans="1:13" ht="15" hidden="1" customHeight="1" x14ac:dyDescent="0.25">
      <c r="A99" s="127">
        <v>43411</v>
      </c>
      <c r="B99" s="91" t="s">
        <v>192</v>
      </c>
      <c r="C99" s="103"/>
      <c r="D99" s="104">
        <v>0</v>
      </c>
      <c r="E99" s="105"/>
      <c r="F99" s="104">
        <v>0</v>
      </c>
      <c r="G99" s="105"/>
      <c r="H99" s="106">
        <f>+D99+F99</f>
        <v>0</v>
      </c>
      <c r="I99" s="105"/>
      <c r="J99" s="106">
        <v>0</v>
      </c>
      <c r="K99" s="107"/>
      <c r="L99" s="106">
        <f>H99-J99</f>
        <v>0</v>
      </c>
      <c r="M99" s="125"/>
    </row>
    <row r="100" spans="1:13" ht="15" customHeight="1" x14ac:dyDescent="0.25">
      <c r="A100" s="127">
        <v>43515</v>
      </c>
      <c r="B100" s="91" t="s">
        <v>218</v>
      </c>
      <c r="C100" s="103"/>
      <c r="D100" s="104"/>
      <c r="E100" s="105"/>
      <c r="F100" s="104">
        <f>850+582+1195</f>
        <v>2627</v>
      </c>
      <c r="G100" s="105"/>
      <c r="H100" s="106">
        <f>+D100+F100</f>
        <v>2627</v>
      </c>
      <c r="I100" s="105"/>
      <c r="J100" s="106">
        <v>2588.4899999999998</v>
      </c>
      <c r="K100" s="107"/>
      <c r="L100" s="106">
        <f>H100-J100</f>
        <v>38.510000000000218</v>
      </c>
      <c r="M100" s="125"/>
    </row>
    <row r="101" spans="1:13" ht="15" customHeight="1" x14ac:dyDescent="0.25">
      <c r="A101" s="127">
        <v>43571</v>
      </c>
      <c r="B101" s="91" t="s">
        <v>257</v>
      </c>
      <c r="C101" s="103"/>
      <c r="D101" s="104"/>
      <c r="E101" s="105"/>
      <c r="F101" s="104">
        <v>500</v>
      </c>
      <c r="G101" s="105"/>
      <c r="H101" s="106">
        <f>+D101+F101</f>
        <v>500</v>
      </c>
      <c r="I101" s="105"/>
      <c r="J101" s="106"/>
      <c r="K101" s="107"/>
      <c r="L101" s="106">
        <f>H101-J101</f>
        <v>500</v>
      </c>
      <c r="M101" s="125"/>
    </row>
    <row r="102" spans="1:13" ht="15" customHeight="1" x14ac:dyDescent="0.25">
      <c r="A102" s="127">
        <v>43382</v>
      </c>
      <c r="B102" s="91" t="s">
        <v>184</v>
      </c>
      <c r="C102" s="103"/>
      <c r="D102" s="104">
        <v>0</v>
      </c>
      <c r="E102" s="105"/>
      <c r="F102" s="104">
        <v>1612</v>
      </c>
      <c r="G102" s="105"/>
      <c r="H102" s="106">
        <f>+D102+F102</f>
        <v>1612</v>
      </c>
      <c r="I102" s="105"/>
      <c r="J102" s="106">
        <v>1559.97</v>
      </c>
      <c r="K102" s="107"/>
      <c r="L102" s="106">
        <f>H102-J102</f>
        <v>52.029999999999973</v>
      </c>
      <c r="M102" s="125"/>
    </row>
    <row r="103" spans="1:13" ht="15" customHeight="1" x14ac:dyDescent="0.25">
      <c r="A103" s="127">
        <v>43515</v>
      </c>
      <c r="B103" s="91" t="s">
        <v>184</v>
      </c>
      <c r="C103" s="103"/>
      <c r="D103" s="104"/>
      <c r="E103" s="105"/>
      <c r="F103" s="104">
        <v>700</v>
      </c>
      <c r="G103" s="105"/>
      <c r="H103" s="106">
        <f>+D103+F103</f>
        <v>700</v>
      </c>
      <c r="I103" s="105"/>
      <c r="J103" s="106"/>
      <c r="K103" s="107"/>
      <c r="L103" s="106">
        <f>H103-J103</f>
        <v>700</v>
      </c>
      <c r="M103" s="125"/>
    </row>
    <row r="104" spans="1:13" ht="15" customHeight="1" x14ac:dyDescent="0.25">
      <c r="A104" s="127">
        <v>43571</v>
      </c>
      <c r="B104" s="91" t="s">
        <v>259</v>
      </c>
      <c r="C104" s="103"/>
      <c r="D104" s="104"/>
      <c r="E104" s="105"/>
      <c r="F104" s="104">
        <v>4424</v>
      </c>
      <c r="G104" s="105"/>
      <c r="H104" s="106">
        <f>+D104+F104</f>
        <v>4424</v>
      </c>
      <c r="I104" s="105"/>
      <c r="J104" s="106"/>
      <c r="K104" s="107"/>
      <c r="L104" s="106">
        <f>H104-J104</f>
        <v>4424</v>
      </c>
      <c r="M104" s="125"/>
    </row>
    <row r="105" spans="1:13" ht="15" customHeight="1" x14ac:dyDescent="0.25">
      <c r="A105" s="127">
        <v>43571</v>
      </c>
      <c r="B105" s="91" t="s">
        <v>287</v>
      </c>
      <c r="C105" s="103"/>
      <c r="D105" s="104"/>
      <c r="E105" s="105"/>
      <c r="F105" s="104">
        <v>-4424</v>
      </c>
      <c r="G105" s="105"/>
      <c r="H105" s="106">
        <f>+D105+F105</f>
        <v>-4424</v>
      </c>
      <c r="I105" s="105"/>
      <c r="J105" s="106"/>
      <c r="K105" s="107"/>
      <c r="L105" s="106">
        <f>H105-J105</f>
        <v>-4424</v>
      </c>
      <c r="M105" s="125"/>
    </row>
    <row r="106" spans="1:13" ht="15" hidden="1" customHeight="1" x14ac:dyDescent="0.25">
      <c r="A106" s="127">
        <v>43382</v>
      </c>
      <c r="B106" s="91" t="s">
        <v>182</v>
      </c>
      <c r="C106" s="103"/>
      <c r="D106" s="104">
        <v>0</v>
      </c>
      <c r="E106" s="105"/>
      <c r="F106" s="104">
        <v>0</v>
      </c>
      <c r="G106" s="105"/>
      <c r="H106" s="106">
        <f>+D106+F106</f>
        <v>0</v>
      </c>
      <c r="I106" s="105"/>
      <c r="J106" s="106">
        <v>0</v>
      </c>
      <c r="K106" s="107"/>
      <c r="L106" s="106">
        <f>H106-J106</f>
        <v>0</v>
      </c>
      <c r="M106" s="125"/>
    </row>
    <row r="107" spans="1:13" ht="15" customHeight="1" x14ac:dyDescent="0.25">
      <c r="A107" s="127">
        <v>43529</v>
      </c>
      <c r="B107" s="91" t="s">
        <v>182</v>
      </c>
      <c r="C107" s="103"/>
      <c r="D107" s="104"/>
      <c r="E107" s="105"/>
      <c r="F107" s="104">
        <v>2000</v>
      </c>
      <c r="G107" s="105"/>
      <c r="H107" s="106">
        <f>+D107+F107</f>
        <v>2000</v>
      </c>
      <c r="I107" s="105"/>
      <c r="J107" s="106">
        <v>1045.52</v>
      </c>
      <c r="K107" s="107"/>
      <c r="L107" s="106">
        <f>H107-J107</f>
        <v>954.48</v>
      </c>
      <c r="M107" s="125"/>
    </row>
    <row r="108" spans="1:13" ht="15" customHeight="1" x14ac:dyDescent="0.25">
      <c r="A108" s="127">
        <v>43382</v>
      </c>
      <c r="B108" s="91" t="s">
        <v>183</v>
      </c>
      <c r="C108" s="103"/>
      <c r="D108" s="104">
        <v>0</v>
      </c>
      <c r="E108" s="105"/>
      <c r="F108" s="104">
        <v>375</v>
      </c>
      <c r="G108" s="105"/>
      <c r="H108" s="106">
        <f>+D108+F108</f>
        <v>375</v>
      </c>
      <c r="I108" s="105"/>
      <c r="J108" s="106">
        <v>374.75</v>
      </c>
      <c r="K108" s="107"/>
      <c r="L108" s="106">
        <f>H108-J108</f>
        <v>0.25</v>
      </c>
      <c r="M108" s="125"/>
    </row>
    <row r="109" spans="1:13" ht="15" customHeight="1" x14ac:dyDescent="0.25">
      <c r="A109" s="127">
        <v>43382</v>
      </c>
      <c r="B109" s="91" t="s">
        <v>141</v>
      </c>
      <c r="C109" s="103"/>
      <c r="D109" s="104">
        <v>0</v>
      </c>
      <c r="E109" s="105"/>
      <c r="F109" s="104">
        <v>300</v>
      </c>
      <c r="G109" s="105"/>
      <c r="H109" s="106">
        <f>+D109+F109</f>
        <v>300</v>
      </c>
      <c r="I109" s="105"/>
      <c r="J109" s="106">
        <v>249.5</v>
      </c>
      <c r="K109" s="107"/>
      <c r="L109" s="106">
        <f>H109-J109</f>
        <v>50.5</v>
      </c>
      <c r="M109" s="125"/>
    </row>
    <row r="110" spans="1:13" ht="15" customHeight="1" x14ac:dyDescent="0.25">
      <c r="A110" s="127">
        <v>43382</v>
      </c>
      <c r="B110" s="91" t="s">
        <v>141</v>
      </c>
      <c r="C110" s="103"/>
      <c r="D110" s="104">
        <v>0</v>
      </c>
      <c r="E110" s="105"/>
      <c r="F110" s="104">
        <v>2000</v>
      </c>
      <c r="G110" s="105"/>
      <c r="H110" s="106">
        <f>+D110+F110</f>
        <v>2000</v>
      </c>
      <c r="I110" s="105"/>
      <c r="J110" s="106">
        <f>1700+299.45</f>
        <v>1999.45</v>
      </c>
      <c r="K110" s="107"/>
      <c r="L110" s="106">
        <f>H110-J110</f>
        <v>0.54999999999995453</v>
      </c>
      <c r="M110" s="125"/>
    </row>
    <row r="111" spans="1:13" ht="15" customHeight="1" x14ac:dyDescent="0.25">
      <c r="A111" s="127"/>
      <c r="B111" s="91"/>
      <c r="C111" s="103"/>
      <c r="D111" s="104"/>
      <c r="E111" s="105"/>
      <c r="F111" s="104"/>
      <c r="G111" s="105"/>
      <c r="H111" s="106"/>
      <c r="I111" s="105"/>
      <c r="J111" s="106"/>
      <c r="K111" s="107"/>
      <c r="L111" s="106"/>
      <c r="M111" s="125"/>
    </row>
    <row r="112" spans="1:13" ht="15" customHeight="1" x14ac:dyDescent="0.25">
      <c r="A112" s="127"/>
      <c r="B112" s="91"/>
      <c r="C112" s="103"/>
      <c r="D112" s="104"/>
      <c r="E112" s="105"/>
      <c r="F112" s="104"/>
      <c r="G112" s="105"/>
      <c r="H112" s="106"/>
      <c r="I112" s="105"/>
      <c r="J112" s="106"/>
      <c r="K112" s="107"/>
      <c r="L112" s="106"/>
      <c r="M112" s="125"/>
    </row>
    <row r="113" spans="1:13" ht="15" customHeight="1" x14ac:dyDescent="0.25">
      <c r="A113" s="127"/>
      <c r="B113" s="94" t="s">
        <v>142</v>
      </c>
      <c r="C113" s="103"/>
      <c r="D113" s="109">
        <f>SUM(D22:D67)</f>
        <v>0</v>
      </c>
      <c r="E113" s="105"/>
      <c r="F113" s="109">
        <f>SUM(F18:F112)</f>
        <v>70931.94</v>
      </c>
      <c r="G113" s="105"/>
      <c r="H113" s="109">
        <f>SUM(H18:H112)</f>
        <v>70931.94</v>
      </c>
      <c r="I113" s="105"/>
      <c r="J113" s="110">
        <f>SUM(J18:J112)</f>
        <v>38507.42</v>
      </c>
      <c r="K113" s="107"/>
      <c r="L113" s="109">
        <f>SUM(L18:L112)</f>
        <v>32424.519999999997</v>
      </c>
      <c r="M113" s="125"/>
    </row>
    <row r="114" spans="1:13" ht="15" hidden="1" customHeight="1" x14ac:dyDescent="0.25">
      <c r="A114" s="127"/>
      <c r="B114" s="129" t="s">
        <v>18</v>
      </c>
      <c r="C114" s="103"/>
      <c r="D114" s="104"/>
      <c r="E114" s="105"/>
      <c r="F114" s="104"/>
      <c r="G114" s="105"/>
      <c r="H114" s="106"/>
      <c r="I114" s="105"/>
      <c r="J114" s="106"/>
      <c r="K114" s="107"/>
      <c r="L114" s="106"/>
      <c r="M114" s="123"/>
    </row>
    <row r="115" spans="1:13" ht="15" hidden="1" customHeight="1" x14ac:dyDescent="0.25">
      <c r="A115" s="127">
        <v>42033</v>
      </c>
      <c r="B115" s="91" t="s">
        <v>93</v>
      </c>
      <c r="C115" s="103"/>
      <c r="D115" s="104">
        <v>0</v>
      </c>
      <c r="E115" s="105"/>
      <c r="F115" s="104">
        <v>0</v>
      </c>
      <c r="G115" s="105"/>
      <c r="H115" s="106">
        <f t="shared" ref="H115:H168" si="2">+D115+F115</f>
        <v>0</v>
      </c>
      <c r="I115" s="105"/>
      <c r="J115" s="106">
        <v>0</v>
      </c>
      <c r="K115" s="107"/>
      <c r="L115" s="106">
        <f t="shared" ref="L115:L168" si="3">H115-J115</f>
        <v>0</v>
      </c>
      <c r="M115" s="123"/>
    </row>
    <row r="116" spans="1:13" ht="15" hidden="1" customHeight="1" x14ac:dyDescent="0.25">
      <c r="A116" s="127">
        <v>42033</v>
      </c>
      <c r="B116" s="91" t="s">
        <v>143</v>
      </c>
      <c r="C116" s="103"/>
      <c r="D116" s="104">
        <v>0</v>
      </c>
      <c r="E116" s="105"/>
      <c r="F116" s="104">
        <v>0</v>
      </c>
      <c r="G116" s="105"/>
      <c r="H116" s="106">
        <f t="shared" si="2"/>
        <v>0</v>
      </c>
      <c r="I116" s="105"/>
      <c r="J116" s="106">
        <v>0</v>
      </c>
      <c r="K116" s="107"/>
      <c r="L116" s="106">
        <f t="shared" si="3"/>
        <v>0</v>
      </c>
      <c r="M116" s="123"/>
    </row>
    <row r="117" spans="1:13" ht="15" hidden="1" customHeight="1" x14ac:dyDescent="0.25">
      <c r="A117" s="127">
        <v>42108</v>
      </c>
      <c r="B117" s="91" t="s">
        <v>143</v>
      </c>
      <c r="C117" s="103"/>
      <c r="D117" s="104">
        <v>0</v>
      </c>
      <c r="E117" s="105"/>
      <c r="F117" s="104">
        <v>0</v>
      </c>
      <c r="G117" s="105"/>
      <c r="H117" s="106">
        <f t="shared" si="2"/>
        <v>0</v>
      </c>
      <c r="I117" s="105"/>
      <c r="J117" s="106">
        <v>0</v>
      </c>
      <c r="K117" s="107"/>
      <c r="L117" s="106">
        <f t="shared" si="3"/>
        <v>0</v>
      </c>
      <c r="M117" s="123"/>
    </row>
    <row r="118" spans="1:13" ht="15" hidden="1" customHeight="1" x14ac:dyDescent="0.25">
      <c r="A118" s="127">
        <v>42061</v>
      </c>
      <c r="B118" s="91" t="s">
        <v>95</v>
      </c>
      <c r="C118" s="103"/>
      <c r="D118" s="104">
        <v>0</v>
      </c>
      <c r="E118" s="105"/>
      <c r="F118" s="104">
        <v>0</v>
      </c>
      <c r="G118" s="105"/>
      <c r="H118" s="106">
        <f t="shared" si="2"/>
        <v>0</v>
      </c>
      <c r="I118" s="105"/>
      <c r="J118" s="106">
        <v>0</v>
      </c>
      <c r="K118" s="107"/>
      <c r="L118" s="106">
        <f t="shared" si="3"/>
        <v>0</v>
      </c>
      <c r="M118" s="123"/>
    </row>
    <row r="119" spans="1:13" ht="15" hidden="1" customHeight="1" x14ac:dyDescent="0.25">
      <c r="A119" s="127">
        <v>42108</v>
      </c>
      <c r="B119" s="91" t="s">
        <v>95</v>
      </c>
      <c r="C119" s="103"/>
      <c r="D119" s="104">
        <v>0</v>
      </c>
      <c r="E119" s="105"/>
      <c r="F119" s="104">
        <v>0</v>
      </c>
      <c r="G119" s="105"/>
      <c r="H119" s="106">
        <f t="shared" si="2"/>
        <v>0</v>
      </c>
      <c r="I119" s="105"/>
      <c r="J119" s="106">
        <v>0</v>
      </c>
      <c r="K119" s="107"/>
      <c r="L119" s="106">
        <f t="shared" si="3"/>
        <v>0</v>
      </c>
      <c r="M119" s="123"/>
    </row>
    <row r="120" spans="1:13" ht="15" hidden="1" customHeight="1" x14ac:dyDescent="0.25">
      <c r="A120" s="127">
        <v>42089</v>
      </c>
      <c r="B120" s="91" t="s">
        <v>96</v>
      </c>
      <c r="C120" s="103"/>
      <c r="D120" s="104">
        <v>0</v>
      </c>
      <c r="E120" s="105"/>
      <c r="F120" s="104">
        <v>0</v>
      </c>
      <c r="G120" s="105"/>
      <c r="H120" s="106">
        <f t="shared" si="2"/>
        <v>0</v>
      </c>
      <c r="I120" s="105"/>
      <c r="J120" s="106">
        <v>0</v>
      </c>
      <c r="K120" s="107"/>
      <c r="L120" s="106">
        <f t="shared" si="3"/>
        <v>0</v>
      </c>
      <c r="M120" s="123"/>
    </row>
    <row r="121" spans="1:13" ht="15" hidden="1" customHeight="1" x14ac:dyDescent="0.25">
      <c r="A121" s="127">
        <v>42033</v>
      </c>
      <c r="B121" s="91" t="s">
        <v>97</v>
      </c>
      <c r="C121" s="103"/>
      <c r="D121" s="104">
        <v>0</v>
      </c>
      <c r="E121" s="105"/>
      <c r="F121" s="104">
        <v>0</v>
      </c>
      <c r="G121" s="105"/>
      <c r="H121" s="106">
        <f t="shared" si="2"/>
        <v>0</v>
      </c>
      <c r="I121" s="105"/>
      <c r="J121" s="106">
        <v>0</v>
      </c>
      <c r="K121" s="107"/>
      <c r="L121" s="106">
        <f t="shared" si="3"/>
        <v>0</v>
      </c>
      <c r="M121" s="125"/>
    </row>
    <row r="122" spans="1:13" ht="15" hidden="1" customHeight="1" x14ac:dyDescent="0.25">
      <c r="A122" s="127">
        <v>42061</v>
      </c>
      <c r="B122" s="91" t="s">
        <v>97</v>
      </c>
      <c r="C122" s="103"/>
      <c r="D122" s="104">
        <v>0</v>
      </c>
      <c r="E122" s="105"/>
      <c r="F122" s="104">
        <v>0</v>
      </c>
      <c r="G122" s="105"/>
      <c r="H122" s="106">
        <f t="shared" si="2"/>
        <v>0</v>
      </c>
      <c r="I122" s="105"/>
      <c r="J122" s="106">
        <v>0</v>
      </c>
      <c r="K122" s="107"/>
      <c r="L122" s="106">
        <f t="shared" si="3"/>
        <v>0</v>
      </c>
      <c r="M122" s="125"/>
    </row>
    <row r="123" spans="1:13" ht="15" hidden="1" customHeight="1" x14ac:dyDescent="0.25">
      <c r="A123" s="127"/>
      <c r="B123" s="91" t="s">
        <v>125</v>
      </c>
      <c r="C123" s="103"/>
      <c r="D123" s="104">
        <v>0</v>
      </c>
      <c r="E123" s="105"/>
      <c r="F123" s="104">
        <v>0</v>
      </c>
      <c r="G123" s="105"/>
      <c r="H123" s="106">
        <f t="shared" si="2"/>
        <v>0</v>
      </c>
      <c r="I123" s="105"/>
      <c r="J123" s="106">
        <v>0</v>
      </c>
      <c r="K123" s="107"/>
      <c r="L123" s="106">
        <f t="shared" si="3"/>
        <v>0</v>
      </c>
      <c r="M123" s="125"/>
    </row>
    <row r="124" spans="1:13" ht="15" hidden="1" customHeight="1" x14ac:dyDescent="0.25">
      <c r="A124" s="127"/>
      <c r="B124" s="91" t="s">
        <v>126</v>
      </c>
      <c r="C124" s="103"/>
      <c r="D124" s="104">
        <v>0</v>
      </c>
      <c r="E124" s="105"/>
      <c r="F124" s="104">
        <v>0</v>
      </c>
      <c r="G124" s="105"/>
      <c r="H124" s="106">
        <f t="shared" si="2"/>
        <v>0</v>
      </c>
      <c r="I124" s="105"/>
      <c r="J124" s="106">
        <v>0</v>
      </c>
      <c r="K124" s="107"/>
      <c r="L124" s="106">
        <f t="shared" si="3"/>
        <v>0</v>
      </c>
      <c r="M124" s="125"/>
    </row>
    <row r="125" spans="1:13" ht="15" hidden="1" customHeight="1" x14ac:dyDescent="0.25">
      <c r="A125" s="127"/>
      <c r="B125" s="91" t="s">
        <v>126</v>
      </c>
      <c r="C125" s="103"/>
      <c r="D125" s="104">
        <v>0</v>
      </c>
      <c r="E125" s="105"/>
      <c r="F125" s="104">
        <v>0</v>
      </c>
      <c r="G125" s="105"/>
      <c r="H125" s="106">
        <f t="shared" si="2"/>
        <v>0</v>
      </c>
      <c r="I125" s="105"/>
      <c r="J125" s="106">
        <v>0</v>
      </c>
      <c r="K125" s="107"/>
      <c r="L125" s="106">
        <f t="shared" si="3"/>
        <v>0</v>
      </c>
      <c r="M125" s="125"/>
    </row>
    <row r="126" spans="1:13" s="128" customFormat="1" ht="15" hidden="1" customHeight="1" x14ac:dyDescent="0.25">
      <c r="A126" s="127">
        <v>42061</v>
      </c>
      <c r="B126" s="91" t="s">
        <v>98</v>
      </c>
      <c r="C126" s="103"/>
      <c r="D126" s="104">
        <v>0</v>
      </c>
      <c r="E126" s="105"/>
      <c r="F126" s="104">
        <v>0</v>
      </c>
      <c r="G126" s="105"/>
      <c r="H126" s="106">
        <f t="shared" si="2"/>
        <v>0</v>
      </c>
      <c r="I126" s="105"/>
      <c r="J126" s="106">
        <v>0</v>
      </c>
      <c r="K126" s="107"/>
      <c r="L126" s="106">
        <f t="shared" si="3"/>
        <v>0</v>
      </c>
      <c r="M126" s="123"/>
    </row>
    <row r="127" spans="1:13" s="128" customFormat="1" ht="15" hidden="1" customHeight="1" x14ac:dyDescent="0.25">
      <c r="A127" s="127">
        <v>42061</v>
      </c>
      <c r="B127" s="91" t="s">
        <v>127</v>
      </c>
      <c r="C127" s="103"/>
      <c r="D127" s="104">
        <v>0</v>
      </c>
      <c r="E127" s="105"/>
      <c r="F127" s="104">
        <v>0</v>
      </c>
      <c r="G127" s="105"/>
      <c r="H127" s="106">
        <f t="shared" si="2"/>
        <v>0</v>
      </c>
      <c r="I127" s="105"/>
      <c r="J127" s="106">
        <v>0</v>
      </c>
      <c r="K127" s="107"/>
      <c r="L127" s="106">
        <f t="shared" si="3"/>
        <v>0</v>
      </c>
      <c r="M127" s="123"/>
    </row>
    <row r="128" spans="1:13" s="128" customFormat="1" ht="15" hidden="1" customHeight="1" x14ac:dyDescent="0.25">
      <c r="A128" s="127">
        <v>42061</v>
      </c>
      <c r="B128" s="91" t="s">
        <v>99</v>
      </c>
      <c r="C128" s="103"/>
      <c r="D128" s="104">
        <v>0</v>
      </c>
      <c r="E128" s="105"/>
      <c r="F128" s="104">
        <v>0</v>
      </c>
      <c r="G128" s="105"/>
      <c r="H128" s="106">
        <f t="shared" si="2"/>
        <v>0</v>
      </c>
      <c r="I128" s="105"/>
      <c r="J128" s="106">
        <v>0</v>
      </c>
      <c r="K128" s="107"/>
      <c r="L128" s="106">
        <f t="shared" si="3"/>
        <v>0</v>
      </c>
      <c r="M128" s="123"/>
    </row>
    <row r="129" spans="1:13" s="128" customFormat="1" ht="15" hidden="1" customHeight="1" x14ac:dyDescent="0.25">
      <c r="A129" s="127">
        <v>42061</v>
      </c>
      <c r="B129" s="91" t="s">
        <v>99</v>
      </c>
      <c r="C129" s="103"/>
      <c r="D129" s="104">
        <v>0</v>
      </c>
      <c r="E129" s="105"/>
      <c r="F129" s="104">
        <v>0</v>
      </c>
      <c r="G129" s="105"/>
      <c r="H129" s="106">
        <f t="shared" si="2"/>
        <v>0</v>
      </c>
      <c r="I129" s="105"/>
      <c r="J129" s="106">
        <v>0</v>
      </c>
      <c r="K129" s="107"/>
      <c r="L129" s="106">
        <f t="shared" si="3"/>
        <v>0</v>
      </c>
      <c r="M129" s="123"/>
    </row>
    <row r="130" spans="1:13" s="128" customFormat="1" ht="15" hidden="1" customHeight="1" x14ac:dyDescent="0.25">
      <c r="A130" s="127"/>
      <c r="B130" s="91" t="s">
        <v>144</v>
      </c>
      <c r="C130" s="103"/>
      <c r="D130" s="104">
        <v>0</v>
      </c>
      <c r="E130" s="105"/>
      <c r="F130" s="104">
        <v>0</v>
      </c>
      <c r="G130" s="105"/>
      <c r="H130" s="106">
        <f t="shared" si="2"/>
        <v>0</v>
      </c>
      <c r="I130" s="105"/>
      <c r="J130" s="106">
        <v>0</v>
      </c>
      <c r="K130" s="107"/>
      <c r="L130" s="106">
        <f t="shared" si="3"/>
        <v>0</v>
      </c>
      <c r="M130" s="123"/>
    </row>
    <row r="131" spans="1:13" s="128" customFormat="1" ht="15" hidden="1" customHeight="1" x14ac:dyDescent="0.25">
      <c r="A131" s="127"/>
      <c r="B131" s="91" t="s">
        <v>145</v>
      </c>
      <c r="C131" s="103"/>
      <c r="D131" s="104">
        <v>0</v>
      </c>
      <c r="E131" s="105"/>
      <c r="F131" s="104">
        <v>0</v>
      </c>
      <c r="G131" s="105"/>
      <c r="H131" s="106">
        <f t="shared" si="2"/>
        <v>0</v>
      </c>
      <c r="I131" s="105"/>
      <c r="J131" s="106">
        <v>0</v>
      </c>
      <c r="K131" s="107"/>
      <c r="L131" s="106">
        <f t="shared" si="3"/>
        <v>0</v>
      </c>
      <c r="M131" s="123"/>
    </row>
    <row r="132" spans="1:13" s="128" customFormat="1" ht="15" hidden="1" customHeight="1" x14ac:dyDescent="0.25">
      <c r="A132" s="127">
        <v>42089</v>
      </c>
      <c r="B132" s="91" t="s">
        <v>129</v>
      </c>
      <c r="C132" s="103"/>
      <c r="D132" s="104">
        <v>0</v>
      </c>
      <c r="E132" s="105"/>
      <c r="F132" s="104">
        <v>0</v>
      </c>
      <c r="G132" s="105"/>
      <c r="H132" s="106">
        <f t="shared" si="2"/>
        <v>0</v>
      </c>
      <c r="I132" s="105"/>
      <c r="J132" s="106">
        <v>0</v>
      </c>
      <c r="K132" s="107"/>
      <c r="L132" s="106">
        <f t="shared" si="3"/>
        <v>0</v>
      </c>
      <c r="M132" s="123"/>
    </row>
    <row r="133" spans="1:13" s="128" customFormat="1" ht="15" hidden="1" customHeight="1" x14ac:dyDescent="0.25">
      <c r="A133" s="127"/>
      <c r="B133" s="91" t="s">
        <v>146</v>
      </c>
      <c r="C133" s="103"/>
      <c r="D133" s="104">
        <v>0</v>
      </c>
      <c r="E133" s="105"/>
      <c r="F133" s="104">
        <v>0</v>
      </c>
      <c r="G133" s="105"/>
      <c r="H133" s="106">
        <f t="shared" si="2"/>
        <v>0</v>
      </c>
      <c r="I133" s="105"/>
      <c r="J133" s="106">
        <v>0</v>
      </c>
      <c r="K133" s="107"/>
      <c r="L133" s="106">
        <f t="shared" si="3"/>
        <v>0</v>
      </c>
      <c r="M133" s="123"/>
    </row>
    <row r="134" spans="1:13" ht="15" hidden="1" customHeight="1" x14ac:dyDescent="0.25">
      <c r="A134" s="127"/>
      <c r="B134" s="91" t="s">
        <v>147</v>
      </c>
      <c r="C134" s="103"/>
      <c r="D134" s="104">
        <v>0</v>
      </c>
      <c r="E134" s="105"/>
      <c r="F134" s="104">
        <v>0</v>
      </c>
      <c r="G134" s="105"/>
      <c r="H134" s="106">
        <f t="shared" si="2"/>
        <v>0</v>
      </c>
      <c r="I134" s="105"/>
      <c r="J134" s="106">
        <v>0</v>
      </c>
      <c r="K134" s="107"/>
      <c r="L134" s="106">
        <f t="shared" si="3"/>
        <v>0</v>
      </c>
      <c r="M134" s="123"/>
    </row>
    <row r="135" spans="1:13" ht="15" hidden="1" customHeight="1" x14ac:dyDescent="0.25">
      <c r="A135" s="127"/>
      <c r="B135" s="91" t="s">
        <v>147</v>
      </c>
      <c r="C135" s="103"/>
      <c r="D135" s="104">
        <v>0</v>
      </c>
      <c r="E135" s="105"/>
      <c r="F135" s="104">
        <v>0</v>
      </c>
      <c r="G135" s="105"/>
      <c r="H135" s="106">
        <f t="shared" si="2"/>
        <v>0</v>
      </c>
      <c r="I135" s="105"/>
      <c r="J135" s="106">
        <v>0</v>
      </c>
      <c r="K135" s="107"/>
      <c r="L135" s="106">
        <f t="shared" si="3"/>
        <v>0</v>
      </c>
      <c r="M135" s="123"/>
    </row>
    <row r="136" spans="1:13" ht="15" hidden="1" customHeight="1" x14ac:dyDescent="0.25">
      <c r="A136" s="127"/>
      <c r="B136" s="91" t="s">
        <v>107</v>
      </c>
      <c r="C136" s="103"/>
      <c r="D136" s="104">
        <v>0</v>
      </c>
      <c r="E136" s="105"/>
      <c r="F136" s="104">
        <v>0</v>
      </c>
      <c r="G136" s="105"/>
      <c r="H136" s="106">
        <f t="shared" si="2"/>
        <v>0</v>
      </c>
      <c r="I136" s="105"/>
      <c r="J136" s="106">
        <v>0</v>
      </c>
      <c r="K136" s="107"/>
      <c r="L136" s="106">
        <f t="shared" si="3"/>
        <v>0</v>
      </c>
      <c r="M136" s="123"/>
    </row>
    <row r="137" spans="1:13" ht="15" hidden="1" customHeight="1" x14ac:dyDescent="0.25">
      <c r="A137" s="127"/>
      <c r="B137" s="91" t="s">
        <v>104</v>
      </c>
      <c r="C137" s="103"/>
      <c r="D137" s="104">
        <v>0</v>
      </c>
      <c r="E137" s="105"/>
      <c r="F137" s="104">
        <v>0</v>
      </c>
      <c r="G137" s="105"/>
      <c r="H137" s="106">
        <f t="shared" si="2"/>
        <v>0</v>
      </c>
      <c r="I137" s="105"/>
      <c r="J137" s="106">
        <v>0</v>
      </c>
      <c r="K137" s="107"/>
      <c r="L137" s="106">
        <f t="shared" si="3"/>
        <v>0</v>
      </c>
      <c r="M137" s="123"/>
    </row>
    <row r="138" spans="1:13" ht="15" hidden="1" customHeight="1" x14ac:dyDescent="0.25">
      <c r="A138" s="127"/>
      <c r="B138" s="91" t="s">
        <v>148</v>
      </c>
      <c r="C138" s="103"/>
      <c r="D138" s="104">
        <v>0</v>
      </c>
      <c r="E138" s="105"/>
      <c r="F138" s="104">
        <v>0</v>
      </c>
      <c r="G138" s="105"/>
      <c r="H138" s="106">
        <f t="shared" si="2"/>
        <v>0</v>
      </c>
      <c r="I138" s="105"/>
      <c r="J138" s="106">
        <v>0</v>
      </c>
      <c r="K138" s="107"/>
      <c r="L138" s="106">
        <f t="shared" si="3"/>
        <v>0</v>
      </c>
      <c r="M138" s="123"/>
    </row>
    <row r="139" spans="1:13" ht="15" hidden="1" customHeight="1" x14ac:dyDescent="0.25">
      <c r="A139" s="127">
        <v>42089</v>
      </c>
      <c r="B139" s="91" t="s">
        <v>105</v>
      </c>
      <c r="C139" s="103"/>
      <c r="D139" s="104">
        <v>0</v>
      </c>
      <c r="E139" s="105"/>
      <c r="F139" s="104">
        <v>0</v>
      </c>
      <c r="G139" s="105"/>
      <c r="H139" s="106">
        <f t="shared" si="2"/>
        <v>0</v>
      </c>
      <c r="I139" s="105"/>
      <c r="J139" s="106">
        <v>0</v>
      </c>
      <c r="K139" s="107"/>
      <c r="L139" s="106">
        <f t="shared" si="3"/>
        <v>0</v>
      </c>
      <c r="M139" s="123"/>
    </row>
    <row r="140" spans="1:13" ht="15" hidden="1" customHeight="1" x14ac:dyDescent="0.25">
      <c r="A140" s="127">
        <v>42089</v>
      </c>
      <c r="B140" s="91" t="s">
        <v>105</v>
      </c>
      <c r="C140" s="103"/>
      <c r="D140" s="104">
        <v>0</v>
      </c>
      <c r="E140" s="105"/>
      <c r="F140" s="104">
        <v>0</v>
      </c>
      <c r="G140" s="105"/>
      <c r="H140" s="106">
        <f t="shared" si="2"/>
        <v>0</v>
      </c>
      <c r="I140" s="105"/>
      <c r="J140" s="106">
        <v>0</v>
      </c>
      <c r="K140" s="107"/>
      <c r="L140" s="106">
        <f t="shared" si="3"/>
        <v>0</v>
      </c>
      <c r="M140" s="125"/>
    </row>
    <row r="141" spans="1:13" ht="15" hidden="1" customHeight="1" x14ac:dyDescent="0.25">
      <c r="A141" s="127">
        <v>42061</v>
      </c>
      <c r="B141" s="91" t="s">
        <v>149</v>
      </c>
      <c r="C141" s="103"/>
      <c r="D141" s="104">
        <v>0</v>
      </c>
      <c r="E141" s="105"/>
      <c r="F141" s="104">
        <v>0</v>
      </c>
      <c r="G141" s="105"/>
      <c r="H141" s="106">
        <f>+D141+F141</f>
        <v>0</v>
      </c>
      <c r="I141" s="105"/>
      <c r="J141" s="106">
        <v>0</v>
      </c>
      <c r="K141" s="107"/>
      <c r="L141" s="106">
        <f>H141-J141</f>
        <v>0</v>
      </c>
      <c r="M141" s="123"/>
    </row>
    <row r="142" spans="1:13" ht="15" hidden="1" customHeight="1" x14ac:dyDescent="0.25">
      <c r="A142" s="127">
        <v>42089</v>
      </c>
      <c r="B142" s="91" t="s">
        <v>134</v>
      </c>
      <c r="C142" s="103"/>
      <c r="D142" s="104">
        <v>0</v>
      </c>
      <c r="E142" s="105"/>
      <c r="F142" s="104">
        <v>0</v>
      </c>
      <c r="G142" s="105"/>
      <c r="H142" s="106">
        <f t="shared" ref="H142:H144" si="4">+D142+F142</f>
        <v>0</v>
      </c>
      <c r="I142" s="105"/>
      <c r="J142" s="106">
        <v>0</v>
      </c>
      <c r="K142" s="107"/>
      <c r="L142" s="106">
        <f t="shared" ref="L142:L144" si="5">H142-J142</f>
        <v>0</v>
      </c>
      <c r="M142" s="123"/>
    </row>
    <row r="143" spans="1:13" ht="15" hidden="1" customHeight="1" x14ac:dyDescent="0.25">
      <c r="A143" s="127">
        <v>42061</v>
      </c>
      <c r="B143" s="91" t="s">
        <v>150</v>
      </c>
      <c r="C143" s="103"/>
      <c r="D143" s="104">
        <v>0</v>
      </c>
      <c r="E143" s="105"/>
      <c r="F143" s="104">
        <v>0</v>
      </c>
      <c r="G143" s="105"/>
      <c r="H143" s="106">
        <f t="shared" si="4"/>
        <v>0</v>
      </c>
      <c r="I143" s="105"/>
      <c r="J143" s="106">
        <v>0</v>
      </c>
      <c r="K143" s="107"/>
      <c r="L143" s="106">
        <f t="shared" si="5"/>
        <v>0</v>
      </c>
      <c r="M143" s="123"/>
    </row>
    <row r="144" spans="1:13" ht="15" hidden="1" customHeight="1" x14ac:dyDescent="0.25">
      <c r="A144" s="127">
        <v>42061</v>
      </c>
      <c r="B144" s="91" t="s">
        <v>150</v>
      </c>
      <c r="C144" s="103"/>
      <c r="D144" s="104">
        <v>0</v>
      </c>
      <c r="E144" s="105"/>
      <c r="F144" s="104">
        <v>0</v>
      </c>
      <c r="G144" s="105"/>
      <c r="H144" s="106">
        <f t="shared" si="4"/>
        <v>0</v>
      </c>
      <c r="I144" s="105"/>
      <c r="J144" s="106">
        <v>0</v>
      </c>
      <c r="K144" s="107"/>
      <c r="L144" s="106">
        <f t="shared" si="5"/>
        <v>0</v>
      </c>
      <c r="M144" s="123"/>
    </row>
    <row r="145" spans="1:13" ht="15" hidden="1" customHeight="1" x14ac:dyDescent="0.25">
      <c r="A145" s="127">
        <v>42061</v>
      </c>
      <c r="B145" s="91" t="s">
        <v>135</v>
      </c>
      <c r="C145" s="103"/>
      <c r="D145" s="104">
        <v>0</v>
      </c>
      <c r="E145" s="105"/>
      <c r="F145" s="104">
        <v>0</v>
      </c>
      <c r="G145" s="105"/>
      <c r="H145" s="106">
        <f t="shared" si="2"/>
        <v>0</v>
      </c>
      <c r="I145" s="105"/>
      <c r="J145" s="106">
        <v>0</v>
      </c>
      <c r="K145" s="107"/>
      <c r="L145" s="106">
        <f t="shared" si="3"/>
        <v>0</v>
      </c>
      <c r="M145" s="125"/>
    </row>
    <row r="146" spans="1:13" ht="15" hidden="1" customHeight="1" x14ac:dyDescent="0.25">
      <c r="A146" s="127">
        <v>42061</v>
      </c>
      <c r="B146" s="91" t="s">
        <v>151</v>
      </c>
      <c r="C146" s="103"/>
      <c r="D146" s="104">
        <v>0</v>
      </c>
      <c r="E146" s="105"/>
      <c r="F146" s="104">
        <v>0</v>
      </c>
      <c r="G146" s="105"/>
      <c r="H146" s="106">
        <f>+D146+F146</f>
        <v>0</v>
      </c>
      <c r="I146" s="105"/>
      <c r="J146" s="106">
        <v>0</v>
      </c>
      <c r="K146" s="107"/>
      <c r="L146" s="106">
        <f>H146-J146</f>
        <v>0</v>
      </c>
      <c r="M146" s="125"/>
    </row>
    <row r="147" spans="1:13" ht="15" hidden="1" customHeight="1" x14ac:dyDescent="0.25">
      <c r="A147" s="127">
        <v>42089</v>
      </c>
      <c r="B147" s="91" t="s">
        <v>151</v>
      </c>
      <c r="C147" s="103"/>
      <c r="D147" s="104">
        <v>0</v>
      </c>
      <c r="E147" s="105"/>
      <c r="F147" s="104">
        <v>0</v>
      </c>
      <c r="G147" s="105"/>
      <c r="H147" s="106">
        <f>+D147+F147</f>
        <v>0</v>
      </c>
      <c r="I147" s="105"/>
      <c r="J147" s="106">
        <v>0</v>
      </c>
      <c r="K147" s="107"/>
      <c r="L147" s="106">
        <f>H147-J147</f>
        <v>0</v>
      </c>
      <c r="M147" s="125"/>
    </row>
    <row r="148" spans="1:13" ht="15" hidden="1" customHeight="1" x14ac:dyDescent="0.25">
      <c r="A148" s="127">
        <v>42108</v>
      </c>
      <c r="B148" s="91" t="s">
        <v>151</v>
      </c>
      <c r="C148" s="103"/>
      <c r="D148" s="104">
        <v>0</v>
      </c>
      <c r="E148" s="105"/>
      <c r="F148" s="104">
        <v>0</v>
      </c>
      <c r="G148" s="105"/>
      <c r="H148" s="106">
        <f>+D148+F148</f>
        <v>0</v>
      </c>
      <c r="I148" s="105"/>
      <c r="J148" s="106">
        <v>0</v>
      </c>
      <c r="K148" s="107"/>
      <c r="L148" s="106">
        <f>H148-J148</f>
        <v>0</v>
      </c>
      <c r="M148" s="123"/>
    </row>
    <row r="149" spans="1:13" ht="15" hidden="1" customHeight="1" x14ac:dyDescent="0.25">
      <c r="A149" s="127">
        <v>42061</v>
      </c>
      <c r="B149" s="91" t="s">
        <v>152</v>
      </c>
      <c r="C149" s="103"/>
      <c r="D149" s="104">
        <v>0</v>
      </c>
      <c r="E149" s="105"/>
      <c r="F149" s="104">
        <v>0</v>
      </c>
      <c r="G149" s="105"/>
      <c r="H149" s="106">
        <f t="shared" si="2"/>
        <v>0</v>
      </c>
      <c r="I149" s="105"/>
      <c r="J149" s="106">
        <v>0</v>
      </c>
      <c r="K149" s="107"/>
      <c r="L149" s="106">
        <f t="shared" si="3"/>
        <v>0</v>
      </c>
      <c r="M149" s="123"/>
    </row>
    <row r="150" spans="1:13" ht="15" hidden="1" customHeight="1" x14ac:dyDescent="0.25">
      <c r="A150" s="127">
        <v>42061</v>
      </c>
      <c r="B150" s="91" t="s">
        <v>131</v>
      </c>
      <c r="C150" s="103"/>
      <c r="D150" s="104">
        <v>0</v>
      </c>
      <c r="E150" s="105"/>
      <c r="F150" s="104">
        <v>0</v>
      </c>
      <c r="G150" s="105"/>
      <c r="H150" s="106">
        <f t="shared" si="2"/>
        <v>0</v>
      </c>
      <c r="I150" s="105"/>
      <c r="J150" s="106">
        <v>0</v>
      </c>
      <c r="K150" s="107"/>
      <c r="L150" s="106">
        <f t="shared" si="3"/>
        <v>0</v>
      </c>
      <c r="M150" s="125"/>
    </row>
    <row r="151" spans="1:13" ht="15" hidden="1" customHeight="1" x14ac:dyDescent="0.25">
      <c r="A151" s="127">
        <v>42089</v>
      </c>
      <c r="B151" s="91" t="s">
        <v>131</v>
      </c>
      <c r="C151" s="103"/>
      <c r="D151" s="104">
        <v>0</v>
      </c>
      <c r="E151" s="105"/>
      <c r="F151" s="104">
        <v>0</v>
      </c>
      <c r="G151" s="105"/>
      <c r="H151" s="106">
        <f t="shared" si="2"/>
        <v>0</v>
      </c>
      <c r="I151" s="105"/>
      <c r="J151" s="106">
        <v>0</v>
      </c>
      <c r="K151" s="107"/>
      <c r="L151" s="106">
        <f t="shared" si="3"/>
        <v>0</v>
      </c>
      <c r="M151" s="123"/>
    </row>
    <row r="152" spans="1:13" ht="15" hidden="1" customHeight="1" x14ac:dyDescent="0.25">
      <c r="A152" s="127">
        <v>42061</v>
      </c>
      <c r="B152" s="91" t="s">
        <v>137</v>
      </c>
      <c r="C152" s="103"/>
      <c r="D152" s="104">
        <v>0</v>
      </c>
      <c r="E152" s="105"/>
      <c r="F152" s="104">
        <v>0</v>
      </c>
      <c r="G152" s="105"/>
      <c r="H152" s="106">
        <f t="shared" si="2"/>
        <v>0</v>
      </c>
      <c r="I152" s="105"/>
      <c r="J152" s="106">
        <v>0</v>
      </c>
      <c r="K152" s="107"/>
      <c r="L152" s="106">
        <f t="shared" si="3"/>
        <v>0</v>
      </c>
      <c r="M152" s="125"/>
    </row>
    <row r="153" spans="1:13" ht="15" hidden="1" customHeight="1" x14ac:dyDescent="0.25">
      <c r="A153" s="127">
        <v>42089</v>
      </c>
      <c r="B153" s="91" t="s">
        <v>137</v>
      </c>
      <c r="C153" s="103"/>
      <c r="D153" s="104">
        <v>0</v>
      </c>
      <c r="E153" s="105"/>
      <c r="F153" s="104">
        <v>0</v>
      </c>
      <c r="G153" s="105"/>
      <c r="H153" s="106">
        <f t="shared" si="2"/>
        <v>0</v>
      </c>
      <c r="I153" s="105"/>
      <c r="J153" s="106">
        <v>0</v>
      </c>
      <c r="K153" s="107"/>
      <c r="L153" s="106">
        <f t="shared" si="3"/>
        <v>0</v>
      </c>
      <c r="M153" s="123"/>
    </row>
    <row r="154" spans="1:13" ht="15" hidden="1" customHeight="1" x14ac:dyDescent="0.25">
      <c r="A154" s="127">
        <v>42061</v>
      </c>
      <c r="B154" s="91" t="s">
        <v>153</v>
      </c>
      <c r="C154" s="103"/>
      <c r="D154" s="104">
        <v>0</v>
      </c>
      <c r="E154" s="105"/>
      <c r="F154" s="104">
        <v>0</v>
      </c>
      <c r="G154" s="105"/>
      <c r="H154" s="106">
        <f t="shared" si="2"/>
        <v>0</v>
      </c>
      <c r="I154" s="105"/>
      <c r="J154" s="106">
        <v>0</v>
      </c>
      <c r="K154" s="107"/>
      <c r="L154" s="106">
        <f t="shared" si="3"/>
        <v>0</v>
      </c>
      <c r="M154" s="123"/>
    </row>
    <row r="155" spans="1:13" ht="15" hidden="1" customHeight="1" x14ac:dyDescent="0.25">
      <c r="A155" s="127">
        <v>42089</v>
      </c>
      <c r="B155" s="91" t="s">
        <v>153</v>
      </c>
      <c r="C155" s="103"/>
      <c r="D155" s="104">
        <v>0</v>
      </c>
      <c r="E155" s="105"/>
      <c r="F155" s="104">
        <v>0</v>
      </c>
      <c r="G155" s="105"/>
      <c r="H155" s="106">
        <f t="shared" si="2"/>
        <v>0</v>
      </c>
      <c r="I155" s="105"/>
      <c r="J155" s="106">
        <v>0</v>
      </c>
      <c r="K155" s="107"/>
      <c r="L155" s="106">
        <f t="shared" si="3"/>
        <v>0</v>
      </c>
      <c r="M155" s="123"/>
    </row>
    <row r="156" spans="1:13" ht="15" hidden="1" customHeight="1" x14ac:dyDescent="0.25">
      <c r="A156" s="127">
        <v>42033</v>
      </c>
      <c r="B156" s="91" t="s">
        <v>154</v>
      </c>
      <c r="C156" s="103"/>
      <c r="D156" s="104">
        <v>0</v>
      </c>
      <c r="E156" s="105"/>
      <c r="F156" s="104">
        <v>0</v>
      </c>
      <c r="G156" s="105"/>
      <c r="H156" s="106">
        <f t="shared" si="2"/>
        <v>0</v>
      </c>
      <c r="I156" s="105"/>
      <c r="J156" s="106">
        <v>0</v>
      </c>
      <c r="K156" s="107"/>
      <c r="L156" s="106">
        <f t="shared" si="3"/>
        <v>0</v>
      </c>
      <c r="M156" s="125"/>
    </row>
    <row r="157" spans="1:13" ht="15" hidden="1" customHeight="1" x14ac:dyDescent="0.25">
      <c r="A157" s="127">
        <v>42089</v>
      </c>
      <c r="B157" s="91" t="s">
        <v>154</v>
      </c>
      <c r="C157" s="103"/>
      <c r="D157" s="104">
        <v>0</v>
      </c>
      <c r="E157" s="105"/>
      <c r="F157" s="104">
        <v>0</v>
      </c>
      <c r="G157" s="105"/>
      <c r="H157" s="106">
        <f t="shared" si="2"/>
        <v>0</v>
      </c>
      <c r="I157" s="105"/>
      <c r="J157" s="106">
        <v>0</v>
      </c>
      <c r="K157" s="107"/>
      <c r="L157" s="106">
        <f t="shared" si="3"/>
        <v>0</v>
      </c>
      <c r="M157" s="125"/>
    </row>
    <row r="158" spans="1:13" ht="15" hidden="1" customHeight="1" x14ac:dyDescent="0.25">
      <c r="A158" s="127">
        <v>42061</v>
      </c>
      <c r="B158" s="91" t="s">
        <v>111</v>
      </c>
      <c r="C158" s="103"/>
      <c r="D158" s="104">
        <v>0</v>
      </c>
      <c r="E158" s="105"/>
      <c r="F158" s="104">
        <v>0</v>
      </c>
      <c r="G158" s="105"/>
      <c r="H158" s="106">
        <f t="shared" si="2"/>
        <v>0</v>
      </c>
      <c r="I158" s="105"/>
      <c r="J158" s="106">
        <v>0</v>
      </c>
      <c r="K158" s="107"/>
      <c r="L158" s="106">
        <f t="shared" si="3"/>
        <v>0</v>
      </c>
      <c r="M158" s="123"/>
    </row>
    <row r="159" spans="1:13" ht="15" hidden="1" customHeight="1" x14ac:dyDescent="0.25">
      <c r="A159" s="127">
        <v>42109</v>
      </c>
      <c r="B159" s="91" t="s">
        <v>111</v>
      </c>
      <c r="C159" s="103"/>
      <c r="D159" s="104">
        <v>0</v>
      </c>
      <c r="E159" s="105"/>
      <c r="F159" s="104">
        <v>0</v>
      </c>
      <c r="G159" s="105"/>
      <c r="H159" s="106">
        <f t="shared" si="2"/>
        <v>0</v>
      </c>
      <c r="I159" s="105"/>
      <c r="J159" s="106">
        <v>0</v>
      </c>
      <c r="K159" s="107"/>
      <c r="L159" s="106">
        <f t="shared" si="3"/>
        <v>0</v>
      </c>
      <c r="M159" s="123"/>
    </row>
    <row r="160" spans="1:13" ht="15" hidden="1" customHeight="1" x14ac:dyDescent="0.25">
      <c r="A160" s="127">
        <v>42089</v>
      </c>
      <c r="B160" s="91" t="s">
        <v>138</v>
      </c>
      <c r="C160" s="103"/>
      <c r="D160" s="104">
        <v>0</v>
      </c>
      <c r="E160" s="105"/>
      <c r="F160" s="104">
        <v>0</v>
      </c>
      <c r="G160" s="105"/>
      <c r="H160" s="106">
        <f t="shared" si="2"/>
        <v>0</v>
      </c>
      <c r="I160" s="105"/>
      <c r="J160" s="106">
        <v>0</v>
      </c>
      <c r="K160" s="107"/>
      <c r="L160" s="106">
        <f t="shared" si="3"/>
        <v>0</v>
      </c>
      <c r="M160" s="123"/>
    </row>
    <row r="161" spans="1:13" ht="15" hidden="1" customHeight="1" x14ac:dyDescent="0.25">
      <c r="A161" s="127">
        <v>42089</v>
      </c>
      <c r="B161" s="91" t="s">
        <v>138</v>
      </c>
      <c r="C161" s="103"/>
      <c r="D161" s="104">
        <v>0</v>
      </c>
      <c r="E161" s="105"/>
      <c r="F161" s="104">
        <v>0</v>
      </c>
      <c r="G161" s="105"/>
      <c r="H161" s="106">
        <f t="shared" si="2"/>
        <v>0</v>
      </c>
      <c r="I161" s="105"/>
      <c r="J161" s="106">
        <v>0</v>
      </c>
      <c r="K161" s="107"/>
      <c r="L161" s="106">
        <f t="shared" si="3"/>
        <v>0</v>
      </c>
      <c r="M161" s="123"/>
    </row>
    <row r="162" spans="1:13" ht="15" hidden="1" customHeight="1" x14ac:dyDescent="0.25">
      <c r="A162" s="127">
        <v>42061</v>
      </c>
      <c r="B162" s="91" t="s">
        <v>139</v>
      </c>
      <c r="C162" s="103"/>
      <c r="D162" s="104">
        <v>0</v>
      </c>
      <c r="E162" s="105"/>
      <c r="F162" s="104">
        <v>0</v>
      </c>
      <c r="G162" s="105"/>
      <c r="H162" s="106">
        <f>+D162+F162</f>
        <v>0</v>
      </c>
      <c r="I162" s="105"/>
      <c r="J162" s="106">
        <v>0</v>
      </c>
      <c r="K162" s="107"/>
      <c r="L162" s="106">
        <f>H162-J162</f>
        <v>0</v>
      </c>
      <c r="M162" s="123"/>
    </row>
    <row r="163" spans="1:13" ht="15" hidden="1" customHeight="1" x14ac:dyDescent="0.25">
      <c r="A163" s="127">
        <v>42061</v>
      </c>
      <c r="B163" s="91" t="s">
        <v>155</v>
      </c>
      <c r="C163" s="103"/>
      <c r="D163" s="104">
        <v>0</v>
      </c>
      <c r="E163" s="105"/>
      <c r="F163" s="104">
        <v>0</v>
      </c>
      <c r="G163" s="105"/>
      <c r="H163" s="106">
        <f t="shared" si="2"/>
        <v>0</v>
      </c>
      <c r="I163" s="105"/>
      <c r="J163" s="106">
        <v>0</v>
      </c>
      <c r="K163" s="107"/>
      <c r="L163" s="106">
        <f t="shared" si="3"/>
        <v>0</v>
      </c>
      <c r="M163" s="123"/>
    </row>
    <row r="164" spans="1:13" ht="15" hidden="1" customHeight="1" x14ac:dyDescent="0.25">
      <c r="A164" s="127">
        <v>42089</v>
      </c>
      <c r="B164" s="91" t="s">
        <v>114</v>
      </c>
      <c r="C164" s="103"/>
      <c r="D164" s="104">
        <v>0</v>
      </c>
      <c r="E164" s="105"/>
      <c r="F164" s="104">
        <v>0</v>
      </c>
      <c r="G164" s="105"/>
      <c r="H164" s="106">
        <f t="shared" si="2"/>
        <v>0</v>
      </c>
      <c r="I164" s="105"/>
      <c r="J164" s="106">
        <v>0</v>
      </c>
      <c r="K164" s="107"/>
      <c r="L164" s="106">
        <f t="shared" si="3"/>
        <v>0</v>
      </c>
      <c r="M164" s="123"/>
    </row>
    <row r="165" spans="1:13" ht="15" hidden="1" customHeight="1" x14ac:dyDescent="0.25">
      <c r="A165" s="127">
        <v>42033</v>
      </c>
      <c r="B165" s="91" t="s">
        <v>140</v>
      </c>
      <c r="C165" s="103"/>
      <c r="D165" s="104">
        <v>0</v>
      </c>
      <c r="E165" s="105"/>
      <c r="F165" s="104">
        <v>0</v>
      </c>
      <c r="G165" s="105"/>
      <c r="H165" s="106">
        <f t="shared" si="2"/>
        <v>0</v>
      </c>
      <c r="I165" s="105"/>
      <c r="J165" s="106">
        <v>0</v>
      </c>
      <c r="K165" s="107"/>
      <c r="L165" s="106">
        <f t="shared" si="3"/>
        <v>0</v>
      </c>
      <c r="M165" s="125"/>
    </row>
    <row r="166" spans="1:13" ht="15" hidden="1" customHeight="1" x14ac:dyDescent="0.25">
      <c r="A166" s="127">
        <v>42061</v>
      </c>
      <c r="B166" s="91" t="s">
        <v>140</v>
      </c>
      <c r="C166" s="103"/>
      <c r="D166" s="104">
        <v>0</v>
      </c>
      <c r="E166" s="105"/>
      <c r="F166" s="104">
        <v>0</v>
      </c>
      <c r="G166" s="105"/>
      <c r="H166" s="106">
        <f t="shared" si="2"/>
        <v>0</v>
      </c>
      <c r="I166" s="105"/>
      <c r="J166" s="106">
        <v>0</v>
      </c>
      <c r="K166" s="107"/>
      <c r="L166" s="106">
        <f t="shared" si="3"/>
        <v>0</v>
      </c>
      <c r="M166" s="125"/>
    </row>
    <row r="167" spans="1:13" ht="15" hidden="1" customHeight="1" x14ac:dyDescent="0.25">
      <c r="A167" s="127">
        <v>42108</v>
      </c>
      <c r="B167" s="91" t="s">
        <v>141</v>
      </c>
      <c r="C167" s="103"/>
      <c r="D167" s="104">
        <v>0</v>
      </c>
      <c r="E167" s="105"/>
      <c r="F167" s="104">
        <v>0</v>
      </c>
      <c r="G167" s="105"/>
      <c r="H167" s="106">
        <f t="shared" si="2"/>
        <v>0</v>
      </c>
      <c r="I167" s="105"/>
      <c r="J167" s="106">
        <v>0</v>
      </c>
      <c r="K167" s="107"/>
      <c r="L167" s="106">
        <f t="shared" si="3"/>
        <v>0</v>
      </c>
      <c r="M167" s="123"/>
    </row>
    <row r="168" spans="1:13" ht="15" hidden="1" customHeight="1" x14ac:dyDescent="0.25">
      <c r="A168" s="127">
        <v>42089</v>
      </c>
      <c r="B168" s="91" t="s">
        <v>156</v>
      </c>
      <c r="C168" s="103"/>
      <c r="D168" s="104">
        <v>0</v>
      </c>
      <c r="E168" s="105"/>
      <c r="F168" s="104">
        <v>0</v>
      </c>
      <c r="G168" s="105"/>
      <c r="H168" s="106">
        <f t="shared" si="2"/>
        <v>0</v>
      </c>
      <c r="I168" s="105"/>
      <c r="J168" s="106">
        <v>0</v>
      </c>
      <c r="K168" s="107"/>
      <c r="L168" s="106">
        <f t="shared" si="3"/>
        <v>0</v>
      </c>
      <c r="M168" s="123"/>
    </row>
    <row r="169" spans="1:13" ht="15" hidden="1" customHeight="1" x14ac:dyDescent="0.25">
      <c r="A169" s="127"/>
      <c r="B169" s="130" t="s">
        <v>157</v>
      </c>
      <c r="C169" s="103"/>
      <c r="D169" s="109">
        <f>SUM(D122:D168)</f>
        <v>0</v>
      </c>
      <c r="E169" s="105"/>
      <c r="F169" s="109">
        <f>SUM(F115:F168)</f>
        <v>0</v>
      </c>
      <c r="G169" s="105"/>
      <c r="H169" s="109">
        <f>SUM(H115:H168)</f>
        <v>0</v>
      </c>
      <c r="I169" s="105"/>
      <c r="J169" s="110">
        <f>SUM(J115:J168)</f>
        <v>0</v>
      </c>
      <c r="K169" s="107"/>
      <c r="L169" s="109">
        <f>SUM(L115:L168)</f>
        <v>0</v>
      </c>
      <c r="M169" s="125"/>
    </row>
    <row r="170" spans="1:13" x14ac:dyDescent="0.25">
      <c r="A170" s="131"/>
      <c r="B170" s="94" t="s">
        <v>115</v>
      </c>
      <c r="C170" s="103"/>
      <c r="D170" s="109">
        <f>SUM(D22:D168)</f>
        <v>0</v>
      </c>
      <c r="E170" s="105"/>
      <c r="F170" s="109">
        <f>F113+F169</f>
        <v>70931.94</v>
      </c>
      <c r="G170" s="105"/>
      <c r="H170" s="109">
        <f>H113+H169</f>
        <v>70931.94</v>
      </c>
      <c r="I170" s="105"/>
      <c r="J170" s="110">
        <f>+J113</f>
        <v>38507.42</v>
      </c>
      <c r="K170" s="107"/>
      <c r="L170" s="109">
        <f>L113+L169</f>
        <v>32424.519999999997</v>
      </c>
      <c r="M170" s="125"/>
    </row>
    <row r="171" spans="1:13" x14ac:dyDescent="0.25">
      <c r="A171" s="131"/>
      <c r="B171" s="94" t="s">
        <v>45</v>
      </c>
      <c r="C171" s="103"/>
      <c r="D171" s="109">
        <f>+D16+D170</f>
        <v>4000</v>
      </c>
      <c r="E171" s="105"/>
      <c r="F171" s="109">
        <f>+F16+F170</f>
        <v>70931.94</v>
      </c>
      <c r="G171" s="105"/>
      <c r="H171" s="109">
        <f>H16+H170</f>
        <v>74931.94</v>
      </c>
      <c r="I171" s="105"/>
      <c r="J171" s="110">
        <f>J16+J170</f>
        <v>42507.42</v>
      </c>
      <c r="K171" s="105"/>
      <c r="L171" s="109">
        <f>+L16+L170</f>
        <v>32424.519999999997</v>
      </c>
      <c r="M171" s="125"/>
    </row>
    <row r="172" spans="1:13" x14ac:dyDescent="0.25">
      <c r="A172" s="131"/>
      <c r="B172" s="94" t="s">
        <v>46</v>
      </c>
      <c r="C172" s="103"/>
      <c r="D172" s="109">
        <f>D13-D171</f>
        <v>39180</v>
      </c>
      <c r="E172" s="105"/>
      <c r="F172" s="105"/>
      <c r="G172" s="105"/>
      <c r="H172" s="109">
        <f>H13-H171</f>
        <v>797.89999999999418</v>
      </c>
      <c r="I172" s="105"/>
      <c r="J172" s="107"/>
      <c r="K172" s="105"/>
      <c r="L172" s="105"/>
      <c r="M172" s="125"/>
    </row>
    <row r="173" spans="1:13" ht="15" hidden="1" customHeight="1" x14ac:dyDescent="0.3">
      <c r="A173" s="131"/>
      <c r="B173" s="108" t="s">
        <v>158</v>
      </c>
      <c r="C173" s="103"/>
      <c r="D173" s="132">
        <v>0</v>
      </c>
      <c r="E173" s="133"/>
      <c r="F173" s="104">
        <v>0</v>
      </c>
      <c r="G173" s="133"/>
      <c r="H173" s="106">
        <f>+D173+F173</f>
        <v>0</v>
      </c>
      <c r="I173" s="133"/>
      <c r="J173" s="134">
        <v>0</v>
      </c>
      <c r="K173" s="135"/>
      <c r="L173" s="134">
        <v>0</v>
      </c>
      <c r="M173" s="123"/>
    </row>
    <row r="174" spans="1:13" ht="15" hidden="1" customHeight="1" x14ac:dyDescent="0.3">
      <c r="B174" s="108" t="s">
        <v>159</v>
      </c>
      <c r="D174" s="109">
        <f>+D172+D173</f>
        <v>39180</v>
      </c>
      <c r="E174" s="105"/>
      <c r="F174" s="120">
        <f>+F172+F173</f>
        <v>0</v>
      </c>
      <c r="G174" s="105"/>
      <c r="H174" s="110">
        <f>+H172+H173</f>
        <v>797.89999999999418</v>
      </c>
      <c r="I174" s="105"/>
      <c r="J174" s="136">
        <f>+J172+J173</f>
        <v>0</v>
      </c>
      <c r="K174" s="107"/>
      <c r="L174" s="136">
        <f>+L172+L173</f>
        <v>0</v>
      </c>
    </row>
    <row r="175" spans="1:13" x14ac:dyDescent="0.25">
      <c r="F175" s="1"/>
      <c r="J175" s="137"/>
      <c r="L175" s="16"/>
    </row>
    <row r="176" spans="1:13" x14ac:dyDescent="0.25">
      <c r="H176" s="24"/>
      <c r="J176" s="24"/>
    </row>
  </sheetData>
  <sortState ref="A18:L111">
    <sortCondition ref="B18:B111"/>
  </sortState>
  <mergeCells count="4">
    <mergeCell ref="A1:L1"/>
    <mergeCell ref="A2:L2"/>
    <mergeCell ref="A3:L3"/>
    <mergeCell ref="A4:L4"/>
  </mergeCells>
  <printOptions horizontalCentered="1"/>
  <pageMargins left="0.25" right="0.25" top="0.25" bottom="0.3" header="0.3" footer="0"/>
  <pageSetup scale="55" orientation="portrait" r:id="rId1"/>
  <headerFooter scaleWithDoc="0">
    <firstFooter>&amp;R
&amp;P&amp;N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2"/>
  <sheetViews>
    <sheetView workbookViewId="0">
      <selection activeCell="K29" sqref="K29"/>
    </sheetView>
  </sheetViews>
  <sheetFormatPr defaultRowHeight="15" x14ac:dyDescent="0.25"/>
  <cols>
    <col min="1" max="1" width="41.85546875" bestFit="1" customWidth="1"/>
    <col min="2" max="2" width="1.7109375" style="1" customWidth="1"/>
    <col min="3" max="3" width="10.5703125" bestFit="1" customWidth="1"/>
    <col min="4" max="4" width="1.7109375" style="1" customWidth="1"/>
    <col min="5" max="5" width="11.5703125" customWidth="1"/>
    <col min="6" max="6" width="1.7109375" style="1" customWidth="1"/>
    <col min="7" max="7" width="11.7109375" style="4" bestFit="1" customWidth="1"/>
    <col min="8" max="8" width="1.7109375" style="1" customWidth="1"/>
    <col min="9" max="9" width="14" style="4" customWidth="1"/>
    <col min="10" max="10" width="1.7109375" style="16" customWidth="1"/>
    <col min="11" max="11" width="10.140625" style="4" customWidth="1"/>
  </cols>
  <sheetData>
    <row r="1" spans="1:12" ht="14.45" x14ac:dyDescent="0.3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ht="14.45" x14ac:dyDescent="0.3">
      <c r="A2" s="182" t="s">
        <v>160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2" ht="14.45" x14ac:dyDescent="0.3">
      <c r="A3" s="182" t="s">
        <v>76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2" ht="14.45" customHeight="1" x14ac:dyDescent="0.3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2" ht="14.45" x14ac:dyDescent="0.3">
      <c r="A5" s="2"/>
      <c r="B5" s="2"/>
      <c r="C5" s="2"/>
      <c r="D5" s="78"/>
      <c r="E5" s="2"/>
      <c r="F5" s="78"/>
      <c r="G5" s="6"/>
      <c r="H5" s="78"/>
      <c r="I5" s="6"/>
      <c r="J5" s="79"/>
      <c r="K5" s="6"/>
    </row>
    <row r="6" spans="1:12" ht="54" thickBot="1" x14ac:dyDescent="0.35">
      <c r="A6" s="95"/>
      <c r="B6" s="96"/>
      <c r="C6" s="97" t="s">
        <v>4</v>
      </c>
      <c r="D6" s="98"/>
      <c r="E6" s="97" t="s">
        <v>5</v>
      </c>
      <c r="F6" s="98"/>
      <c r="G6" s="99" t="s">
        <v>6</v>
      </c>
      <c r="H6" s="98"/>
      <c r="I6" s="100" t="s">
        <v>117</v>
      </c>
      <c r="J6" s="101"/>
      <c r="K6" s="99" t="s">
        <v>55</v>
      </c>
      <c r="L6" s="102"/>
    </row>
    <row r="7" spans="1:12" ht="14.45" x14ac:dyDescent="0.3">
      <c r="A7" s="102" t="s">
        <v>161</v>
      </c>
      <c r="B7" s="103"/>
      <c r="C7" s="104">
        <v>40000</v>
      </c>
      <c r="D7" s="105"/>
      <c r="E7" s="104">
        <v>11112</v>
      </c>
      <c r="F7" s="105"/>
      <c r="G7" s="106">
        <f>C7+E7</f>
        <v>51112</v>
      </c>
      <c r="H7" s="105"/>
      <c r="I7" s="106">
        <v>0</v>
      </c>
      <c r="J7" s="107"/>
      <c r="K7" s="106">
        <f>G7-I7</f>
        <v>51112</v>
      </c>
      <c r="L7" s="102"/>
    </row>
    <row r="8" spans="1:12" ht="14.45" x14ac:dyDescent="0.3">
      <c r="A8" s="108" t="s">
        <v>162</v>
      </c>
      <c r="B8" s="103"/>
      <c r="C8" s="109">
        <f>SUM(C7:C7)</f>
        <v>40000</v>
      </c>
      <c r="D8" s="105"/>
      <c r="E8" s="109">
        <f>SUM(E7:E7)</f>
        <v>11112</v>
      </c>
      <c r="F8" s="105"/>
      <c r="G8" s="110">
        <f>SUM(G7:G7)</f>
        <v>51112</v>
      </c>
      <c r="H8" s="105"/>
      <c r="I8" s="110">
        <f>SUM(I7:I7)</f>
        <v>0</v>
      </c>
      <c r="J8" s="107"/>
      <c r="K8" s="110">
        <f>SUM(K7:K7)</f>
        <v>51112</v>
      </c>
      <c r="L8" s="102"/>
    </row>
    <row r="9" spans="1:12" ht="14.45" x14ac:dyDescent="0.3">
      <c r="A9" s="108"/>
      <c r="B9" s="103"/>
      <c r="C9" s="105"/>
      <c r="D9" s="105"/>
      <c r="E9" s="105"/>
      <c r="F9" s="105"/>
      <c r="G9" s="107"/>
      <c r="H9" s="105"/>
      <c r="I9" s="107"/>
      <c r="J9" s="107"/>
      <c r="K9" s="107"/>
      <c r="L9" s="102"/>
    </row>
    <row r="10" spans="1:12" ht="14.45" x14ac:dyDescent="0.3">
      <c r="A10" s="102" t="s">
        <v>163</v>
      </c>
      <c r="B10" s="103"/>
      <c r="C10" s="104">
        <v>0</v>
      </c>
      <c r="D10" s="105"/>
      <c r="E10" s="104">
        <v>8000</v>
      </c>
      <c r="F10" s="105"/>
      <c r="G10" s="106">
        <f t="shared" ref="G10:G19" si="0">C10+E10</f>
        <v>8000</v>
      </c>
      <c r="H10" s="105"/>
      <c r="I10" s="106">
        <v>7185</v>
      </c>
      <c r="J10" s="107"/>
      <c r="K10" s="106">
        <f t="shared" ref="K10:K18" si="1">G10-I10</f>
        <v>815</v>
      </c>
      <c r="L10" s="102"/>
    </row>
    <row r="11" spans="1:12" ht="14.45" x14ac:dyDescent="0.3">
      <c r="A11" s="102" t="s">
        <v>124</v>
      </c>
      <c r="B11" s="103"/>
      <c r="C11" s="104">
        <v>0</v>
      </c>
      <c r="D11" s="105"/>
      <c r="E11" s="104">
        <v>22800</v>
      </c>
      <c r="F11" s="105"/>
      <c r="G11" s="106">
        <f t="shared" si="0"/>
        <v>22800</v>
      </c>
      <c r="H11" s="105"/>
      <c r="I11" s="106">
        <v>18475</v>
      </c>
      <c r="J11" s="107"/>
      <c r="K11" s="106">
        <f t="shared" si="1"/>
        <v>4325</v>
      </c>
      <c r="L11" s="102"/>
    </row>
    <row r="12" spans="1:12" ht="14.45" x14ac:dyDescent="0.3">
      <c r="A12" s="102" t="s">
        <v>172</v>
      </c>
      <c r="B12" s="103"/>
      <c r="C12" s="104">
        <v>0</v>
      </c>
      <c r="D12" s="105"/>
      <c r="E12" s="104">
        <f>2138+11112</f>
        <v>13250</v>
      </c>
      <c r="F12" s="105"/>
      <c r="G12" s="106">
        <f t="shared" ref="G12:G14" si="2">C12+E12</f>
        <v>13250</v>
      </c>
      <c r="H12" s="105"/>
      <c r="I12" s="106">
        <f>4228+3056.56+3425+567.41+355.05</f>
        <v>11632.019999999999</v>
      </c>
      <c r="J12" s="107"/>
      <c r="K12" s="106">
        <f t="shared" ref="K12:K13" si="3">G12-I12</f>
        <v>1617.9800000000014</v>
      </c>
      <c r="L12" s="102"/>
    </row>
    <row r="13" spans="1:12" x14ac:dyDescent="0.25">
      <c r="A13" s="102" t="s">
        <v>173</v>
      </c>
      <c r="B13" s="103"/>
      <c r="C13" s="104">
        <v>0</v>
      </c>
      <c r="D13" s="105"/>
      <c r="E13" s="104">
        <v>750</v>
      </c>
      <c r="F13" s="105"/>
      <c r="G13" s="106">
        <f t="shared" si="2"/>
        <v>750</v>
      </c>
      <c r="H13" s="105"/>
      <c r="I13" s="106">
        <v>0</v>
      </c>
      <c r="J13" s="107"/>
      <c r="K13" s="106">
        <f t="shared" si="3"/>
        <v>750</v>
      </c>
      <c r="L13" s="102"/>
    </row>
    <row r="14" spans="1:12" x14ac:dyDescent="0.25">
      <c r="A14" s="102" t="s">
        <v>84</v>
      </c>
      <c r="B14" s="103"/>
      <c r="C14" s="104">
        <v>0</v>
      </c>
      <c r="D14" s="105"/>
      <c r="E14" s="104">
        <v>5145</v>
      </c>
      <c r="F14" s="105"/>
      <c r="G14" s="106">
        <f t="shared" si="2"/>
        <v>5145</v>
      </c>
      <c r="H14" s="105"/>
      <c r="I14" s="106">
        <f>453.41+399</f>
        <v>852.41000000000008</v>
      </c>
      <c r="J14" s="107"/>
      <c r="K14" s="106">
        <f t="shared" si="1"/>
        <v>4292.59</v>
      </c>
      <c r="L14" s="102"/>
    </row>
    <row r="15" spans="1:12" x14ac:dyDescent="0.25">
      <c r="A15" s="102" t="s">
        <v>164</v>
      </c>
      <c r="B15" s="103"/>
      <c r="C15" s="104">
        <v>0</v>
      </c>
      <c r="D15" s="105"/>
      <c r="E15" s="104">
        <v>387</v>
      </c>
      <c r="F15" s="105"/>
      <c r="G15" s="106">
        <f>C15+E15</f>
        <v>387</v>
      </c>
      <c r="H15" s="105"/>
      <c r="I15" s="106">
        <v>0</v>
      </c>
      <c r="J15" s="107"/>
      <c r="K15" s="106">
        <f>G15-I15</f>
        <v>387</v>
      </c>
      <c r="L15" s="102"/>
    </row>
    <row r="16" spans="1:12" ht="14.45" hidden="1" x14ac:dyDescent="0.3">
      <c r="A16" s="102" t="s">
        <v>165</v>
      </c>
      <c r="B16" s="103"/>
      <c r="C16" s="104">
        <v>0</v>
      </c>
      <c r="D16" s="105"/>
      <c r="E16" s="104">
        <v>0</v>
      </c>
      <c r="F16" s="105"/>
      <c r="G16" s="106">
        <f>C16+E16</f>
        <v>0</v>
      </c>
      <c r="H16" s="105"/>
      <c r="I16" s="106">
        <v>0</v>
      </c>
      <c r="J16" s="107"/>
      <c r="K16" s="106">
        <f>G16-I16</f>
        <v>0</v>
      </c>
      <c r="L16" s="102"/>
    </row>
    <row r="17" spans="1:12" x14ac:dyDescent="0.25">
      <c r="A17" s="102" t="s">
        <v>166</v>
      </c>
      <c r="B17" s="103"/>
      <c r="C17" s="104">
        <v>0</v>
      </c>
      <c r="D17" s="105"/>
      <c r="E17" s="104">
        <v>780</v>
      </c>
      <c r="F17" s="105"/>
      <c r="G17" s="106">
        <f t="shared" si="0"/>
        <v>780</v>
      </c>
      <c r="H17" s="105"/>
      <c r="I17" s="106">
        <v>0</v>
      </c>
      <c r="J17" s="107"/>
      <c r="K17" s="106">
        <f t="shared" si="1"/>
        <v>780</v>
      </c>
      <c r="L17" s="102"/>
    </row>
    <row r="18" spans="1:12" ht="14.45" hidden="1" x14ac:dyDescent="0.3">
      <c r="A18" s="102" t="s">
        <v>70</v>
      </c>
      <c r="B18" s="103"/>
      <c r="C18" s="104">
        <v>0</v>
      </c>
      <c r="D18" s="105"/>
      <c r="E18" s="104">
        <f>500-500</f>
        <v>0</v>
      </c>
      <c r="F18" s="105"/>
      <c r="G18" s="106">
        <f t="shared" si="0"/>
        <v>0</v>
      </c>
      <c r="H18" s="105"/>
      <c r="I18" s="106">
        <v>0</v>
      </c>
      <c r="J18" s="107"/>
      <c r="K18" s="106">
        <f t="shared" si="1"/>
        <v>0</v>
      </c>
      <c r="L18" s="102"/>
    </row>
    <row r="19" spans="1:12" ht="14.45" hidden="1" x14ac:dyDescent="0.3">
      <c r="A19" s="102" t="s">
        <v>167</v>
      </c>
      <c r="B19" s="103"/>
      <c r="C19" s="104">
        <v>0</v>
      </c>
      <c r="D19" s="105"/>
      <c r="E19" s="104">
        <v>0</v>
      </c>
      <c r="F19" s="105"/>
      <c r="G19" s="106">
        <f t="shared" si="0"/>
        <v>0</v>
      </c>
      <c r="H19" s="105"/>
      <c r="I19" s="106">
        <v>0</v>
      </c>
      <c r="J19" s="107"/>
      <c r="K19" s="106">
        <f>G19-I19</f>
        <v>0</v>
      </c>
      <c r="L19" s="102"/>
    </row>
    <row r="20" spans="1:12" x14ac:dyDescent="0.25">
      <c r="A20" s="94" t="s">
        <v>45</v>
      </c>
      <c r="B20" s="103"/>
      <c r="C20" s="109">
        <f>SUM(C10:C19)</f>
        <v>0</v>
      </c>
      <c r="D20" s="105"/>
      <c r="E20" s="109">
        <f>SUM(E10:E19)</f>
        <v>51112</v>
      </c>
      <c r="F20" s="105"/>
      <c r="G20" s="109">
        <f>SUM(G10:G19)</f>
        <v>51112</v>
      </c>
      <c r="H20" s="105"/>
      <c r="I20" s="109">
        <f>SUM(I10:I19)</f>
        <v>38144.43</v>
      </c>
      <c r="J20" s="105"/>
      <c r="K20" s="109">
        <f>SUM(K10:K19)</f>
        <v>12967.570000000002</v>
      </c>
      <c r="L20" s="102"/>
    </row>
    <row r="21" spans="1:12" x14ac:dyDescent="0.25">
      <c r="A21" s="94" t="s">
        <v>46</v>
      </c>
      <c r="B21" s="103"/>
      <c r="C21" s="109">
        <f>C8-C20</f>
        <v>40000</v>
      </c>
      <c r="D21" s="105"/>
      <c r="E21" s="105"/>
      <c r="F21" s="105"/>
      <c r="G21" s="109">
        <f>G8-G20</f>
        <v>0</v>
      </c>
      <c r="H21" s="105"/>
      <c r="I21" s="105"/>
      <c r="J21" s="105"/>
      <c r="K21" s="105"/>
      <c r="L21" s="102"/>
    </row>
    <row r="22" spans="1:12" x14ac:dyDescent="0.25">
      <c r="A22" s="102"/>
      <c r="B22" s="103"/>
      <c r="C22" s="102"/>
      <c r="D22" s="103"/>
      <c r="E22" s="102"/>
      <c r="F22" s="103"/>
      <c r="G22" s="116"/>
      <c r="H22" s="103"/>
      <c r="I22" s="115"/>
      <c r="J22" s="115"/>
      <c r="K22" s="116"/>
      <c r="L22" s="102"/>
    </row>
  </sheetData>
  <mergeCells count="4">
    <mergeCell ref="A1:K1"/>
    <mergeCell ref="A2:K2"/>
    <mergeCell ref="A3:K3"/>
    <mergeCell ref="A4:K4"/>
  </mergeCells>
  <printOptions horizontalCentered="1"/>
  <pageMargins left="0.25" right="0.25" top="0.25" bottom="0.3" header="0.3" footer="0"/>
  <pageSetup orientation="landscape" r:id="rId1"/>
  <headerFooter scaleWithDoc="0">
    <firstFooter>&amp;R
&amp;P&amp;N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88"/>
  <sheetViews>
    <sheetView topLeftCell="A3" zoomScaleNormal="100" workbookViewId="0">
      <selection activeCell="I52" sqref="I52"/>
    </sheetView>
  </sheetViews>
  <sheetFormatPr defaultRowHeight="15" x14ac:dyDescent="0.25"/>
  <cols>
    <col min="1" max="1" width="43.7109375" customWidth="1"/>
    <col min="2" max="2" width="1.7109375" style="1" customWidth="1"/>
    <col min="3" max="3" width="10.5703125" bestFit="1" customWidth="1"/>
    <col min="4" max="4" width="1.7109375" style="1" customWidth="1"/>
    <col min="5" max="5" width="12.140625" customWidth="1"/>
    <col min="6" max="6" width="1.7109375" style="1" customWidth="1"/>
    <col min="7" max="7" width="11.7109375" style="4" bestFit="1" customWidth="1"/>
    <col min="8" max="8" width="1.7109375" style="1" customWidth="1"/>
    <col min="9" max="9" width="13.140625" style="4" customWidth="1"/>
    <col min="10" max="10" width="1.7109375" style="16" customWidth="1"/>
    <col min="11" max="11" width="10.42578125" style="112" customWidth="1"/>
  </cols>
  <sheetData>
    <row r="1" spans="1:12" ht="14.45" x14ac:dyDescent="0.3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ht="14.45" x14ac:dyDescent="0.3">
      <c r="A2" s="182" t="s">
        <v>52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2" ht="14.45" x14ac:dyDescent="0.3">
      <c r="A3" s="182" t="s">
        <v>53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2" ht="15" customHeight="1" x14ac:dyDescent="0.3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2" ht="14.45" x14ac:dyDescent="0.3">
      <c r="A5" s="2"/>
      <c r="B5" s="78"/>
      <c r="C5" s="2"/>
      <c r="D5" s="78"/>
      <c r="E5" s="2"/>
      <c r="F5" s="78"/>
      <c r="G5" s="6"/>
      <c r="H5" s="78"/>
      <c r="I5" s="6"/>
      <c r="J5" s="79"/>
      <c r="K5" s="171"/>
    </row>
    <row r="6" spans="1:12" ht="61.5" thickBot="1" x14ac:dyDescent="0.3">
      <c r="A6" s="80" t="s">
        <v>3</v>
      </c>
      <c r="B6" s="3"/>
      <c r="C6" s="81" t="s">
        <v>4</v>
      </c>
      <c r="D6" s="82"/>
      <c r="E6" s="81" t="s">
        <v>5</v>
      </c>
      <c r="F6" s="82"/>
      <c r="G6" s="13" t="s">
        <v>6</v>
      </c>
      <c r="H6" s="82"/>
      <c r="I6" s="83" t="s">
        <v>54</v>
      </c>
      <c r="J6" s="84"/>
      <c r="K6" s="172" t="s">
        <v>55</v>
      </c>
    </row>
    <row r="7" spans="1:12" ht="14.45" x14ac:dyDescent="0.3">
      <c r="A7" t="s">
        <v>0</v>
      </c>
      <c r="C7" s="85">
        <v>27405</v>
      </c>
      <c r="D7" s="86"/>
      <c r="E7" s="85">
        <v>0</v>
      </c>
      <c r="F7" s="86"/>
      <c r="G7" s="87">
        <f>C7+E7</f>
        <v>27405</v>
      </c>
      <c r="H7" s="86"/>
      <c r="I7" s="87">
        <v>4589</v>
      </c>
      <c r="J7" s="88"/>
      <c r="K7" s="39">
        <f>G7-I7</f>
        <v>22816</v>
      </c>
      <c r="L7" s="140"/>
    </row>
    <row r="8" spans="1:12" ht="14.45" x14ac:dyDescent="0.3">
      <c r="A8" t="s">
        <v>17</v>
      </c>
      <c r="C8" s="85">
        <v>119532</v>
      </c>
      <c r="D8" s="86"/>
      <c r="E8" s="85">
        <v>15108</v>
      </c>
      <c r="F8" s="86"/>
      <c r="G8" s="87">
        <f t="shared" ref="G8:G11" si="0">C8+E8</f>
        <v>134640</v>
      </c>
      <c r="H8" s="86"/>
      <c r="I8" s="87">
        <v>37130</v>
      </c>
      <c r="J8" s="88"/>
      <c r="K8" s="39">
        <f>G8-I8</f>
        <v>97510</v>
      </c>
    </row>
    <row r="9" spans="1:12" ht="14.45" x14ac:dyDescent="0.3">
      <c r="A9" t="s">
        <v>18</v>
      </c>
      <c r="C9" s="85">
        <v>111029</v>
      </c>
      <c r="D9" s="86"/>
      <c r="E9" s="85">
        <f>120080-111029</f>
        <v>9051</v>
      </c>
      <c r="F9" s="86"/>
      <c r="G9" s="87">
        <f t="shared" si="0"/>
        <v>120080</v>
      </c>
      <c r="H9" s="86"/>
      <c r="I9" s="87">
        <v>0</v>
      </c>
      <c r="J9" s="88"/>
      <c r="K9" s="39">
        <f>G9-I9</f>
        <v>120080</v>
      </c>
    </row>
    <row r="10" spans="1:12" ht="14.45" x14ac:dyDescent="0.3">
      <c r="A10" s="16" t="s">
        <v>22</v>
      </c>
      <c r="C10" s="85">
        <v>0</v>
      </c>
      <c r="D10" s="86"/>
      <c r="E10" s="85">
        <f>50000+16000+15000+15000+11609+25000</f>
        <v>132609</v>
      </c>
      <c r="F10" s="86"/>
      <c r="G10" s="87">
        <f t="shared" si="0"/>
        <v>132609</v>
      </c>
      <c r="H10" s="86"/>
      <c r="I10" s="87">
        <v>0</v>
      </c>
      <c r="J10" s="88"/>
      <c r="K10" s="39">
        <f>G10-I10</f>
        <v>132609</v>
      </c>
    </row>
    <row r="11" spans="1:12" ht="14.45" hidden="1" x14ac:dyDescent="0.3">
      <c r="A11" s="16" t="s">
        <v>23</v>
      </c>
      <c r="C11" s="85">
        <v>0</v>
      </c>
      <c r="D11" s="86"/>
      <c r="E11" s="85">
        <v>0</v>
      </c>
      <c r="F11" s="86"/>
      <c r="G11" s="87">
        <f t="shared" si="0"/>
        <v>0</v>
      </c>
      <c r="H11" s="86"/>
      <c r="I11" s="87">
        <v>0</v>
      </c>
      <c r="J11" s="88"/>
      <c r="K11" s="39">
        <f>G11-I11</f>
        <v>0</v>
      </c>
    </row>
    <row r="12" spans="1:12" ht="14.45" x14ac:dyDescent="0.3">
      <c r="A12" s="54" t="s">
        <v>24</v>
      </c>
      <c r="C12" s="89">
        <f>SUM(C7:C11)</f>
        <v>257966</v>
      </c>
      <c r="D12" s="86"/>
      <c r="E12" s="89">
        <f>SUM(E7:E11)</f>
        <v>156768</v>
      </c>
      <c r="F12" s="86"/>
      <c r="G12" s="90">
        <f>SUM(G7:G11)</f>
        <v>414734</v>
      </c>
      <c r="H12" s="86"/>
      <c r="I12" s="90">
        <f>SUM(I7:I11)</f>
        <v>41719</v>
      </c>
      <c r="J12" s="88"/>
      <c r="K12" s="27">
        <f>SUM(K7:K11)</f>
        <v>373015</v>
      </c>
    </row>
    <row r="13" spans="1:12" ht="14.45" x14ac:dyDescent="0.3">
      <c r="C13" s="85"/>
      <c r="D13" s="86"/>
      <c r="E13" s="85"/>
      <c r="F13" s="86"/>
      <c r="G13" s="87"/>
      <c r="H13" s="86"/>
      <c r="I13" s="87"/>
      <c r="J13" s="88"/>
      <c r="K13" s="39"/>
    </row>
    <row r="14" spans="1:12" ht="14.45" x14ac:dyDescent="0.3">
      <c r="A14" s="91" t="s">
        <v>25</v>
      </c>
      <c r="C14" s="85">
        <v>23000</v>
      </c>
      <c r="D14" s="86"/>
      <c r="E14" s="85">
        <v>0</v>
      </c>
      <c r="F14" s="86"/>
      <c r="G14" s="87">
        <f t="shared" ref="G14:G30" si="1">C14+E14</f>
        <v>23000</v>
      </c>
      <c r="H14" s="86"/>
      <c r="I14" s="87">
        <f>9591+343.63+13065</f>
        <v>22999.629999999997</v>
      </c>
      <c r="J14" s="88"/>
      <c r="K14" s="39">
        <f t="shared" ref="K14:K30" si="2">G14-I14</f>
        <v>0.37000000000261934</v>
      </c>
    </row>
    <row r="15" spans="1:12" ht="14.45" x14ac:dyDescent="0.3">
      <c r="A15" s="91" t="s">
        <v>26</v>
      </c>
      <c r="C15" s="85">
        <v>4125</v>
      </c>
      <c r="D15" s="86"/>
      <c r="E15" s="85">
        <v>0</v>
      </c>
      <c r="F15" s="86"/>
      <c r="G15" s="87">
        <f t="shared" si="1"/>
        <v>4125</v>
      </c>
      <c r="H15" s="86"/>
      <c r="I15" s="87">
        <v>3790</v>
      </c>
      <c r="J15" s="88"/>
      <c r="K15" s="39">
        <f t="shared" si="2"/>
        <v>335</v>
      </c>
    </row>
    <row r="16" spans="1:12" ht="14.45" x14ac:dyDescent="0.3">
      <c r="A16" s="91" t="s">
        <v>27</v>
      </c>
      <c r="C16" s="85">
        <v>9000</v>
      </c>
      <c r="D16" s="86"/>
      <c r="E16" s="85">
        <v>0</v>
      </c>
      <c r="F16" s="86"/>
      <c r="G16" s="87">
        <f t="shared" si="1"/>
        <v>9000</v>
      </c>
      <c r="H16" s="86"/>
      <c r="I16" s="87">
        <v>10474</v>
      </c>
      <c r="J16" s="88"/>
      <c r="K16" s="39">
        <f t="shared" si="2"/>
        <v>-1474</v>
      </c>
    </row>
    <row r="17" spans="1:11" ht="15" customHeight="1" x14ac:dyDescent="0.3">
      <c r="A17" s="91" t="s">
        <v>28</v>
      </c>
      <c r="C17" s="85">
        <v>6000</v>
      </c>
      <c r="D17" s="86"/>
      <c r="E17" s="85">
        <v>0</v>
      </c>
      <c r="F17" s="86"/>
      <c r="G17" s="87">
        <f t="shared" si="1"/>
        <v>6000</v>
      </c>
      <c r="H17" s="86"/>
      <c r="I17" s="87">
        <v>4954.6000000000004</v>
      </c>
      <c r="J17" s="88"/>
      <c r="K17" s="39">
        <f t="shared" si="2"/>
        <v>1045.3999999999996</v>
      </c>
    </row>
    <row r="18" spans="1:11" ht="15" customHeight="1" x14ac:dyDescent="0.25">
      <c r="A18" s="91" t="s">
        <v>29</v>
      </c>
      <c r="C18" s="85">
        <v>1181</v>
      </c>
      <c r="D18" s="86"/>
      <c r="E18" s="85">
        <v>0</v>
      </c>
      <c r="F18" s="86"/>
      <c r="G18" s="87">
        <f t="shared" si="1"/>
        <v>1181</v>
      </c>
      <c r="H18" s="86"/>
      <c r="I18" s="87">
        <v>0</v>
      </c>
      <c r="J18" s="88"/>
      <c r="K18" s="39">
        <f t="shared" si="2"/>
        <v>1181</v>
      </c>
    </row>
    <row r="19" spans="1:11" ht="15" customHeight="1" x14ac:dyDescent="0.25">
      <c r="A19" s="91" t="s">
        <v>30</v>
      </c>
      <c r="C19" s="85">
        <v>2000</v>
      </c>
      <c r="D19" s="86"/>
      <c r="E19" s="85">
        <v>0</v>
      </c>
      <c r="F19" s="86"/>
      <c r="G19" s="87">
        <f t="shared" si="1"/>
        <v>2000</v>
      </c>
      <c r="H19" s="86"/>
      <c r="I19" s="87">
        <v>0</v>
      </c>
      <c r="J19" s="88"/>
      <c r="K19" s="39">
        <f t="shared" si="2"/>
        <v>2000</v>
      </c>
    </row>
    <row r="20" spans="1:11" x14ac:dyDescent="0.25">
      <c r="A20" s="91" t="s">
        <v>31</v>
      </c>
      <c r="C20" s="85">
        <v>23000</v>
      </c>
      <c r="D20" s="86"/>
      <c r="E20" s="85">
        <v>0</v>
      </c>
      <c r="F20" s="86"/>
      <c r="G20" s="87">
        <f t="shared" si="1"/>
        <v>23000</v>
      </c>
      <c r="H20" s="86"/>
      <c r="I20" s="87">
        <v>16000</v>
      </c>
      <c r="J20" s="88"/>
      <c r="K20" s="39">
        <f t="shared" si="2"/>
        <v>7000</v>
      </c>
    </row>
    <row r="21" spans="1:11" s="170" customFormat="1" x14ac:dyDescent="0.25">
      <c r="A21" s="164" t="s">
        <v>242</v>
      </c>
      <c r="B21" s="165"/>
      <c r="C21" s="166">
        <v>0</v>
      </c>
      <c r="D21" s="167"/>
      <c r="E21" s="166">
        <v>-7000</v>
      </c>
      <c r="F21" s="167"/>
      <c r="G21" s="168">
        <f t="shared" si="1"/>
        <v>-7000</v>
      </c>
      <c r="H21" s="167"/>
      <c r="I21" s="168">
        <v>0</v>
      </c>
      <c r="J21" s="169"/>
      <c r="K21" s="173">
        <f t="shared" si="2"/>
        <v>-7000</v>
      </c>
    </row>
    <row r="22" spans="1:11" ht="15" customHeight="1" x14ac:dyDescent="0.25">
      <c r="A22" s="91" t="s">
        <v>32</v>
      </c>
      <c r="C22" s="85">
        <v>2500</v>
      </c>
      <c r="D22" s="86"/>
      <c r="E22" s="85">
        <v>0</v>
      </c>
      <c r="F22" s="86"/>
      <c r="G22" s="87">
        <f t="shared" si="1"/>
        <v>2500</v>
      </c>
      <c r="H22" s="86"/>
      <c r="I22" s="87">
        <v>2598</v>
      </c>
      <c r="J22" s="88"/>
      <c r="K22" s="39">
        <f t="shared" si="2"/>
        <v>-98</v>
      </c>
    </row>
    <row r="23" spans="1:11" ht="15" customHeight="1" x14ac:dyDescent="0.3">
      <c r="A23" s="91" t="s">
        <v>34</v>
      </c>
      <c r="C23" s="85">
        <v>15000</v>
      </c>
      <c r="D23" s="86"/>
      <c r="E23" s="85">
        <v>0</v>
      </c>
      <c r="F23" s="86"/>
      <c r="G23" s="87">
        <f>C23+E23</f>
        <v>15000</v>
      </c>
      <c r="H23" s="86"/>
      <c r="I23" s="87">
        <v>15000</v>
      </c>
      <c r="J23" s="88"/>
      <c r="K23" s="39">
        <f>G23-I23</f>
        <v>0</v>
      </c>
    </row>
    <row r="24" spans="1:11" s="4" customFormat="1" ht="15" customHeight="1" x14ac:dyDescent="0.3">
      <c r="A24" s="114" t="s">
        <v>246</v>
      </c>
      <c r="B24" s="16"/>
      <c r="C24" s="87">
        <v>25000</v>
      </c>
      <c r="D24" s="88"/>
      <c r="E24" s="87">
        <f>13000+8230+13000</f>
        <v>34230</v>
      </c>
      <c r="F24" s="88"/>
      <c r="G24" s="87">
        <f>C24+E24</f>
        <v>59230</v>
      </c>
      <c r="H24" s="88"/>
      <c r="I24" s="87">
        <f>4200+22030+3000+4495+4667+610.96+497+4725+1100+577.98+2780</f>
        <v>48682.94</v>
      </c>
      <c r="J24" s="88"/>
      <c r="K24" s="39">
        <f>G24-I24</f>
        <v>10547.059999999998</v>
      </c>
    </row>
    <row r="25" spans="1:11" ht="15" customHeight="1" x14ac:dyDescent="0.25">
      <c r="A25" s="92" t="s">
        <v>33</v>
      </c>
      <c r="C25" s="85">
        <v>1200</v>
      </c>
      <c r="D25" s="86"/>
      <c r="E25" s="85">
        <v>0</v>
      </c>
      <c r="F25" s="86"/>
      <c r="G25" s="87">
        <f t="shared" si="1"/>
        <v>1200</v>
      </c>
      <c r="H25" s="86"/>
      <c r="I25" s="87">
        <f>825+194.87+180+0.13</f>
        <v>1200</v>
      </c>
      <c r="J25" s="88"/>
      <c r="K25" s="39">
        <f t="shared" si="2"/>
        <v>0</v>
      </c>
    </row>
    <row r="26" spans="1:11" ht="15" customHeight="1" x14ac:dyDescent="0.3">
      <c r="A26" s="91" t="s">
        <v>185</v>
      </c>
      <c r="C26" s="85">
        <v>40000</v>
      </c>
      <c r="D26" s="86"/>
      <c r="E26" s="85">
        <v>11112</v>
      </c>
      <c r="F26" s="86"/>
      <c r="G26" s="87">
        <f>C26+E26</f>
        <v>51112</v>
      </c>
      <c r="H26" s="86"/>
      <c r="I26" s="87">
        <f>+'Pandora''s Box'!I20</f>
        <v>38144.43</v>
      </c>
      <c r="J26" s="88"/>
      <c r="K26" s="184">
        <f>G26-I26</f>
        <v>12967.57</v>
      </c>
    </row>
    <row r="27" spans="1:11" ht="15" customHeight="1" x14ac:dyDescent="0.3">
      <c r="A27" s="91" t="s">
        <v>39</v>
      </c>
      <c r="C27" s="85">
        <v>5000</v>
      </c>
      <c r="D27" s="86"/>
      <c r="E27" s="85">
        <v>7000</v>
      </c>
      <c r="F27" s="86"/>
      <c r="G27" s="87">
        <f>C27+E27</f>
        <v>12000</v>
      </c>
      <c r="H27" s="86"/>
      <c r="I27" s="87">
        <f>4197+2365+1300+3643+495</f>
        <v>12000</v>
      </c>
      <c r="J27" s="88"/>
      <c r="K27" s="39">
        <f>G27-I27</f>
        <v>0</v>
      </c>
    </row>
    <row r="28" spans="1:11" ht="15" customHeight="1" x14ac:dyDescent="0.3">
      <c r="A28" s="91" t="s">
        <v>41</v>
      </c>
      <c r="C28" s="85">
        <v>3000</v>
      </c>
      <c r="D28" s="86"/>
      <c r="E28" s="85">
        <v>0</v>
      </c>
      <c r="F28" s="86"/>
      <c r="G28" s="87">
        <f>C28+E28</f>
        <v>3000</v>
      </c>
      <c r="H28" s="86"/>
      <c r="I28" s="87">
        <f>129+577.98</f>
        <v>706.98</v>
      </c>
      <c r="J28" s="88"/>
      <c r="K28" s="184">
        <f>G28-I28</f>
        <v>2293.02</v>
      </c>
    </row>
    <row r="29" spans="1:11" ht="15" customHeight="1" x14ac:dyDescent="0.3">
      <c r="A29" s="91" t="s">
        <v>42</v>
      </c>
      <c r="C29" s="85">
        <v>5000</v>
      </c>
      <c r="D29" s="86"/>
      <c r="E29" s="85">
        <v>0</v>
      </c>
      <c r="F29" s="86"/>
      <c r="G29" s="87">
        <f t="shared" si="1"/>
        <v>5000</v>
      </c>
      <c r="H29" s="86"/>
      <c r="I29" s="87">
        <v>3975.4</v>
      </c>
      <c r="J29" s="88"/>
      <c r="K29" s="184">
        <f t="shared" si="2"/>
        <v>1024.5999999999999</v>
      </c>
    </row>
    <row r="30" spans="1:11" ht="15" customHeight="1" x14ac:dyDescent="0.3">
      <c r="A30" s="91" t="s">
        <v>43</v>
      </c>
      <c r="C30" s="85">
        <v>5000</v>
      </c>
      <c r="D30" s="86"/>
      <c r="E30" s="85">
        <v>0</v>
      </c>
      <c r="F30" s="86"/>
      <c r="G30" s="87">
        <f t="shared" si="1"/>
        <v>5000</v>
      </c>
      <c r="H30" s="86"/>
      <c r="I30" s="87">
        <v>6308.52</v>
      </c>
      <c r="J30" s="88"/>
      <c r="K30" s="184">
        <f t="shared" si="2"/>
        <v>-1308.5200000000004</v>
      </c>
    </row>
    <row r="31" spans="1:11" ht="15" customHeight="1" x14ac:dyDescent="0.3">
      <c r="A31" s="93" t="s">
        <v>245</v>
      </c>
      <c r="C31" s="85">
        <v>8000</v>
      </c>
      <c r="D31" s="86"/>
      <c r="E31" s="85">
        <v>0</v>
      </c>
      <c r="F31" s="86"/>
      <c r="G31" s="87">
        <v>8000</v>
      </c>
      <c r="H31" s="86"/>
      <c r="I31" s="87">
        <f>59.7+2021.19+62.14+1793+2531.97</f>
        <v>6468</v>
      </c>
      <c r="J31" s="88"/>
      <c r="K31" s="184">
        <f>G31-I31</f>
        <v>1532</v>
      </c>
    </row>
    <row r="32" spans="1:11" ht="15" customHeight="1" x14ac:dyDescent="0.3">
      <c r="A32" s="93" t="s">
        <v>244</v>
      </c>
      <c r="C32" s="85">
        <v>0</v>
      </c>
      <c r="D32" s="86"/>
      <c r="E32" s="85">
        <v>3000</v>
      </c>
      <c r="F32" s="86"/>
      <c r="G32" s="87">
        <f>+C32+E32</f>
        <v>3000</v>
      </c>
      <c r="H32" s="86"/>
      <c r="I32" s="87">
        <f>977+177.86+32.95+31.57+33.88+33.88+318.45</f>
        <v>1605.5900000000004</v>
      </c>
      <c r="J32" s="88"/>
      <c r="K32" s="184">
        <f>G32-I32</f>
        <v>1394.4099999999996</v>
      </c>
    </row>
    <row r="33" spans="1:11" ht="15" customHeight="1" x14ac:dyDescent="0.25">
      <c r="A33" s="93" t="s">
        <v>243</v>
      </c>
      <c r="C33" s="85">
        <v>0</v>
      </c>
      <c r="D33" s="86"/>
      <c r="E33" s="85">
        <v>2000</v>
      </c>
      <c r="F33" s="86"/>
      <c r="G33" s="87">
        <f>+C33+E33</f>
        <v>2000</v>
      </c>
      <c r="H33" s="86"/>
      <c r="I33" s="87">
        <v>0</v>
      </c>
      <c r="J33" s="88"/>
      <c r="K33" s="39">
        <f>G33-I33</f>
        <v>2000</v>
      </c>
    </row>
    <row r="34" spans="1:11" s="170" customFormat="1" ht="15" customHeight="1" x14ac:dyDescent="0.25">
      <c r="A34" s="164" t="s">
        <v>242</v>
      </c>
      <c r="B34" s="165"/>
      <c r="C34" s="166"/>
      <c r="D34" s="167"/>
      <c r="E34" s="166">
        <v>-2000</v>
      </c>
      <c r="F34" s="167"/>
      <c r="G34" s="168">
        <f>+C34+E34</f>
        <v>-2000</v>
      </c>
      <c r="H34" s="167"/>
      <c r="I34" s="168">
        <v>0</v>
      </c>
      <c r="J34" s="169"/>
      <c r="K34" s="173">
        <f>G34-I34</f>
        <v>-2000</v>
      </c>
    </row>
    <row r="35" spans="1:11" ht="15" customHeight="1" x14ac:dyDescent="0.25">
      <c r="A35" s="93" t="s">
        <v>174</v>
      </c>
      <c r="C35" s="85">
        <v>0</v>
      </c>
      <c r="D35" s="86"/>
      <c r="E35" s="85">
        <v>840</v>
      </c>
      <c r="F35" s="86"/>
      <c r="G35" s="87">
        <f>+C35+E35</f>
        <v>840</v>
      </c>
      <c r="H35" s="86"/>
      <c r="I35" s="87">
        <v>839.6</v>
      </c>
      <c r="J35" s="88"/>
      <c r="K35" s="39">
        <f>G35-I35</f>
        <v>0.39999999999997726</v>
      </c>
    </row>
    <row r="36" spans="1:11" s="142" customFormat="1" ht="15" customHeight="1" x14ac:dyDescent="0.25">
      <c r="A36" s="93" t="s">
        <v>186</v>
      </c>
      <c r="B36" s="141"/>
      <c r="C36" s="85">
        <v>0</v>
      </c>
      <c r="D36" s="86"/>
      <c r="E36" s="85">
        <v>8000</v>
      </c>
      <c r="F36" s="86"/>
      <c r="G36" s="87">
        <f t="shared" ref="G36:G42" si="3">+C36+E36</f>
        <v>8000</v>
      </c>
      <c r="H36" s="86"/>
      <c r="I36" s="87">
        <v>6500</v>
      </c>
      <c r="J36" s="88"/>
      <c r="K36" s="184">
        <f t="shared" ref="K36:K42" si="4">G36-I36</f>
        <v>1500</v>
      </c>
    </row>
    <row r="37" spans="1:11" s="142" customFormat="1" ht="15" customHeight="1" x14ac:dyDescent="0.25">
      <c r="A37" s="93" t="s">
        <v>187</v>
      </c>
      <c r="B37" s="141"/>
      <c r="C37" s="85">
        <v>0</v>
      </c>
      <c r="D37" s="86"/>
      <c r="E37" s="85">
        <v>4500</v>
      </c>
      <c r="F37" s="86"/>
      <c r="G37" s="87">
        <f t="shared" si="3"/>
        <v>4500</v>
      </c>
      <c r="H37" s="86"/>
      <c r="I37" s="87">
        <f>3496.65+500</f>
        <v>3996.65</v>
      </c>
      <c r="J37" s="88"/>
      <c r="K37" s="184">
        <f t="shared" si="4"/>
        <v>503.34999999999991</v>
      </c>
    </row>
    <row r="38" spans="1:11" s="142" customFormat="1" ht="15" customHeight="1" x14ac:dyDescent="0.25">
      <c r="A38" s="93" t="s">
        <v>190</v>
      </c>
      <c r="B38" s="141"/>
      <c r="C38" s="85">
        <v>0</v>
      </c>
      <c r="D38" s="86"/>
      <c r="E38" s="85">
        <v>15000</v>
      </c>
      <c r="F38" s="86"/>
      <c r="G38" s="87">
        <f t="shared" si="3"/>
        <v>15000</v>
      </c>
      <c r="H38" s="86"/>
      <c r="I38" s="87">
        <f>3305+3750+2500+5000</f>
        <v>14555</v>
      </c>
      <c r="J38" s="88"/>
      <c r="K38" s="184">
        <f t="shared" si="4"/>
        <v>445</v>
      </c>
    </row>
    <row r="39" spans="1:11" s="142" customFormat="1" ht="15" customHeight="1" x14ac:dyDescent="0.25">
      <c r="A39" s="93" t="s">
        <v>191</v>
      </c>
      <c r="B39" s="141"/>
      <c r="C39" s="85">
        <v>0</v>
      </c>
      <c r="D39" s="86"/>
      <c r="E39" s="85">
        <v>5600</v>
      </c>
      <c r="F39" s="86"/>
      <c r="G39" s="87">
        <f t="shared" si="3"/>
        <v>5600</v>
      </c>
      <c r="H39" s="86"/>
      <c r="I39" s="87">
        <v>5028.68</v>
      </c>
      <c r="J39" s="88"/>
      <c r="K39" s="184">
        <f t="shared" si="4"/>
        <v>571.31999999999971</v>
      </c>
    </row>
    <row r="40" spans="1:11" s="142" customFormat="1" ht="15" customHeight="1" x14ac:dyDescent="0.25">
      <c r="A40" s="93" t="s">
        <v>194</v>
      </c>
      <c r="B40" s="141"/>
      <c r="C40" s="85">
        <v>0</v>
      </c>
      <c r="D40" s="86"/>
      <c r="E40" s="85">
        <v>50000</v>
      </c>
      <c r="F40" s="86"/>
      <c r="G40" s="87">
        <f t="shared" si="3"/>
        <v>50000</v>
      </c>
      <c r="H40" s="86"/>
      <c r="I40" s="87">
        <v>45027</v>
      </c>
      <c r="J40" s="88"/>
      <c r="K40" s="39">
        <f t="shared" si="4"/>
        <v>4973</v>
      </c>
    </row>
    <row r="41" spans="1:11" s="170" customFormat="1" ht="15" customHeight="1" x14ac:dyDescent="0.25">
      <c r="A41" s="164" t="s">
        <v>242</v>
      </c>
      <c r="B41" s="165"/>
      <c r="C41" s="166">
        <v>0</v>
      </c>
      <c r="D41" s="167"/>
      <c r="E41" s="166">
        <v>-4973</v>
      </c>
      <c r="F41" s="167"/>
      <c r="G41" s="168">
        <f t="shared" si="3"/>
        <v>-4973</v>
      </c>
      <c r="H41" s="167"/>
      <c r="I41" s="168">
        <v>0</v>
      </c>
      <c r="J41" s="169"/>
      <c r="K41" s="173">
        <f t="shared" si="4"/>
        <v>-4973</v>
      </c>
    </row>
    <row r="42" spans="1:11" s="142" customFormat="1" ht="15" customHeight="1" x14ac:dyDescent="0.25">
      <c r="A42" s="93" t="s">
        <v>195</v>
      </c>
      <c r="B42" s="141"/>
      <c r="C42" s="85">
        <v>0</v>
      </c>
      <c r="D42" s="86"/>
      <c r="E42" s="85">
        <v>16000</v>
      </c>
      <c r="F42" s="86"/>
      <c r="G42" s="87">
        <f t="shared" si="3"/>
        <v>16000</v>
      </c>
      <c r="H42" s="86"/>
      <c r="I42" s="87">
        <v>15540</v>
      </c>
      <c r="J42" s="88"/>
      <c r="K42" s="39">
        <f t="shared" si="4"/>
        <v>460</v>
      </c>
    </row>
    <row r="43" spans="1:11" s="142" customFormat="1" ht="15" customHeight="1" x14ac:dyDescent="0.25">
      <c r="A43" s="93" t="s">
        <v>197</v>
      </c>
      <c r="B43" s="141"/>
      <c r="C43" s="85">
        <v>0</v>
      </c>
      <c r="D43" s="86"/>
      <c r="E43" s="85">
        <v>1300</v>
      </c>
      <c r="F43" s="86"/>
      <c r="G43" s="87">
        <f t="shared" ref="G43:G48" si="5">+C43+E43</f>
        <v>1300</v>
      </c>
      <c r="H43" s="86"/>
      <c r="I43" s="87">
        <v>150</v>
      </c>
      <c r="J43" s="88"/>
      <c r="K43" s="184">
        <f t="shared" ref="K43:K48" si="6">G43-I43</f>
        <v>1150</v>
      </c>
    </row>
    <row r="44" spans="1:11" s="142" customFormat="1" ht="15" customHeight="1" x14ac:dyDescent="0.25">
      <c r="A44" s="40" t="s">
        <v>198</v>
      </c>
      <c r="B44" s="141"/>
      <c r="C44" s="85">
        <v>0</v>
      </c>
      <c r="D44" s="86"/>
      <c r="E44" s="85">
        <v>15000</v>
      </c>
      <c r="F44" s="86"/>
      <c r="G44" s="87">
        <f t="shared" si="5"/>
        <v>15000</v>
      </c>
      <c r="H44" s="86"/>
      <c r="I44" s="87">
        <v>13465.38</v>
      </c>
      <c r="J44" s="88"/>
      <c r="K44" s="184">
        <f t="shared" si="6"/>
        <v>1534.6200000000008</v>
      </c>
    </row>
    <row r="45" spans="1:11" s="142" customFormat="1" ht="15" customHeight="1" x14ac:dyDescent="0.25">
      <c r="A45" s="40" t="s">
        <v>213</v>
      </c>
      <c r="B45" s="141"/>
      <c r="C45" s="85">
        <v>0</v>
      </c>
      <c r="D45" s="86"/>
      <c r="E45" s="85">
        <v>15000</v>
      </c>
      <c r="F45" s="86"/>
      <c r="G45" s="87">
        <f t="shared" si="5"/>
        <v>15000</v>
      </c>
      <c r="H45" s="86"/>
      <c r="I45" s="87">
        <v>7500</v>
      </c>
      <c r="J45" s="88"/>
      <c r="K45" s="39">
        <f t="shared" si="6"/>
        <v>7500</v>
      </c>
    </row>
    <row r="46" spans="1:11" s="170" customFormat="1" ht="15" customHeight="1" x14ac:dyDescent="0.25">
      <c r="A46" s="164" t="s">
        <v>242</v>
      </c>
      <c r="B46" s="165"/>
      <c r="C46" s="166"/>
      <c r="D46" s="167"/>
      <c r="E46" s="166">
        <v>-7500</v>
      </c>
      <c r="F46" s="167"/>
      <c r="G46" s="168">
        <f t="shared" si="5"/>
        <v>-7500</v>
      </c>
      <c r="H46" s="167"/>
      <c r="I46" s="168">
        <v>0</v>
      </c>
      <c r="J46" s="169"/>
      <c r="K46" s="173">
        <f t="shared" si="6"/>
        <v>-7500</v>
      </c>
    </row>
    <row r="47" spans="1:11" s="142" customFormat="1" ht="15" customHeight="1" x14ac:dyDescent="0.25">
      <c r="A47" s="93" t="s">
        <v>211</v>
      </c>
      <c r="B47" s="141"/>
      <c r="C47" s="85">
        <v>0</v>
      </c>
      <c r="D47" s="86"/>
      <c r="E47" s="85">
        <v>2275</v>
      </c>
      <c r="F47" s="86"/>
      <c r="G47" s="87">
        <f t="shared" si="5"/>
        <v>2275</v>
      </c>
      <c r="H47" s="86"/>
      <c r="I47" s="87">
        <v>2000</v>
      </c>
      <c r="J47" s="88"/>
      <c r="K47" s="39">
        <f t="shared" si="6"/>
        <v>275</v>
      </c>
    </row>
    <row r="48" spans="1:11" s="142" customFormat="1" ht="15" customHeight="1" x14ac:dyDescent="0.25">
      <c r="A48" s="93" t="s">
        <v>283</v>
      </c>
      <c r="B48" s="141"/>
      <c r="C48" s="85">
        <v>0</v>
      </c>
      <c r="D48" s="86"/>
      <c r="E48" s="85">
        <f>9350+4424+2669.84</f>
        <v>16443.84</v>
      </c>
      <c r="F48" s="86"/>
      <c r="G48" s="87">
        <f t="shared" si="5"/>
        <v>16443.84</v>
      </c>
      <c r="H48" s="86"/>
      <c r="I48" s="87">
        <f>16443.84</f>
        <v>16443.84</v>
      </c>
      <c r="J48" s="88"/>
      <c r="K48" s="39">
        <f t="shared" si="6"/>
        <v>0</v>
      </c>
    </row>
    <row r="49" spans="1:15" s="142" customFormat="1" ht="15" customHeight="1" x14ac:dyDescent="0.25">
      <c r="A49" s="40" t="s">
        <v>240</v>
      </c>
      <c r="B49" s="141"/>
      <c r="C49" s="85">
        <v>0</v>
      </c>
      <c r="D49" s="86"/>
      <c r="E49" s="85">
        <v>15000</v>
      </c>
      <c r="F49" s="86"/>
      <c r="G49" s="87">
        <f t="shared" ref="G49:G54" si="7">+C49+E49</f>
        <v>15000</v>
      </c>
      <c r="H49" s="86"/>
      <c r="I49" s="87">
        <v>15563.6</v>
      </c>
      <c r="J49" s="88"/>
      <c r="K49" s="39">
        <f t="shared" ref="K49:K55" si="8">G49-I49</f>
        <v>-563.60000000000036</v>
      </c>
    </row>
    <row r="50" spans="1:15" s="142" customFormat="1" ht="15" customHeight="1" x14ac:dyDescent="0.25">
      <c r="A50" s="40" t="s">
        <v>241</v>
      </c>
      <c r="B50" s="141"/>
      <c r="C50" s="85">
        <v>0</v>
      </c>
      <c r="D50" s="86"/>
      <c r="E50" s="85">
        <v>3500</v>
      </c>
      <c r="F50" s="86"/>
      <c r="G50" s="87">
        <f t="shared" si="7"/>
        <v>3500</v>
      </c>
      <c r="H50" s="86"/>
      <c r="I50" s="87">
        <v>3495.65</v>
      </c>
      <c r="J50" s="88"/>
      <c r="K50" s="39">
        <f t="shared" si="8"/>
        <v>4.3499999999999091</v>
      </c>
    </row>
    <row r="51" spans="1:15" s="142" customFormat="1" ht="15" customHeight="1" x14ac:dyDescent="0.25">
      <c r="A51" s="93" t="s">
        <v>247</v>
      </c>
      <c r="B51" s="141"/>
      <c r="C51" s="85">
        <v>0</v>
      </c>
      <c r="D51" s="86"/>
      <c r="E51" s="85">
        <v>7400</v>
      </c>
      <c r="F51" s="86"/>
      <c r="G51" s="87">
        <f t="shared" si="7"/>
        <v>7400</v>
      </c>
      <c r="H51" s="86"/>
      <c r="I51" s="87">
        <v>7400</v>
      </c>
      <c r="J51" s="88"/>
      <c r="K51" s="39">
        <f t="shared" si="8"/>
        <v>0</v>
      </c>
    </row>
    <row r="52" spans="1:15" s="142" customFormat="1" ht="15" customHeight="1" x14ac:dyDescent="0.25">
      <c r="A52" s="93" t="s">
        <v>284</v>
      </c>
      <c r="B52" s="141"/>
      <c r="C52" s="85">
        <v>0</v>
      </c>
      <c r="D52" s="86"/>
      <c r="E52" s="85">
        <v>13457</v>
      </c>
      <c r="F52" s="86"/>
      <c r="G52" s="87">
        <f t="shared" si="7"/>
        <v>13457</v>
      </c>
      <c r="H52" s="86"/>
      <c r="I52" s="87">
        <f>6000+7457</f>
        <v>13457</v>
      </c>
      <c r="J52" s="88"/>
      <c r="K52" s="39">
        <f t="shared" si="8"/>
        <v>0</v>
      </c>
    </row>
    <row r="53" spans="1:15" s="142" customFormat="1" ht="15" customHeight="1" x14ac:dyDescent="0.25">
      <c r="A53" s="93" t="s">
        <v>286</v>
      </c>
      <c r="B53" s="141"/>
      <c r="C53" s="85"/>
      <c r="D53" s="86"/>
      <c r="E53" s="85">
        <v>7500</v>
      </c>
      <c r="F53" s="86"/>
      <c r="G53" s="87">
        <f t="shared" si="7"/>
        <v>7500</v>
      </c>
      <c r="H53" s="86"/>
      <c r="I53" s="87">
        <v>7500</v>
      </c>
      <c r="J53" s="88"/>
      <c r="K53" s="39">
        <f t="shared" si="8"/>
        <v>0</v>
      </c>
    </row>
    <row r="54" spans="1:15" s="142" customFormat="1" ht="15" customHeight="1" x14ac:dyDescent="0.25">
      <c r="A54" s="93" t="s">
        <v>285</v>
      </c>
      <c r="B54" s="141"/>
      <c r="C54" s="85"/>
      <c r="D54" s="86"/>
      <c r="E54" s="85">
        <v>3000</v>
      </c>
      <c r="F54" s="86"/>
      <c r="G54" s="87">
        <f t="shared" si="7"/>
        <v>3000</v>
      </c>
      <c r="H54" s="86"/>
      <c r="I54" s="87">
        <v>3000</v>
      </c>
      <c r="J54" s="88"/>
      <c r="K54" s="39">
        <f t="shared" si="8"/>
        <v>0</v>
      </c>
    </row>
    <row r="55" spans="1:15" s="142" customFormat="1" ht="15" hidden="1" customHeight="1" x14ac:dyDescent="0.25">
      <c r="A55" s="93"/>
      <c r="B55" s="141"/>
      <c r="C55" s="85"/>
      <c r="D55" s="86"/>
      <c r="E55" s="85"/>
      <c r="F55" s="86"/>
      <c r="G55" s="87"/>
      <c r="H55" s="86"/>
      <c r="I55" s="87">
        <v>0</v>
      </c>
      <c r="J55" s="88"/>
      <c r="K55" s="39">
        <f t="shared" si="8"/>
        <v>0</v>
      </c>
    </row>
    <row r="56" spans="1:15" ht="15" customHeight="1" x14ac:dyDescent="0.25">
      <c r="A56" s="94" t="s">
        <v>45</v>
      </c>
      <c r="C56" s="89">
        <f>SUM(C14:C54)</f>
        <v>178006</v>
      </c>
      <c r="D56" s="86"/>
      <c r="E56" s="89">
        <f>SUM(E14:E54)</f>
        <v>235684.84</v>
      </c>
      <c r="F56" s="86"/>
      <c r="G56" s="89">
        <f>SUM(G14:G54)</f>
        <v>413690.84</v>
      </c>
      <c r="H56" s="86"/>
      <c r="I56" s="89">
        <f>SUM(I14:I55)</f>
        <v>376370.49000000005</v>
      </c>
      <c r="J56" s="86"/>
      <c r="K56" s="89">
        <f>SUM(K14:K55)</f>
        <v>37320.350000000006</v>
      </c>
      <c r="L56" s="55"/>
      <c r="O56" s="53"/>
    </row>
    <row r="57" spans="1:15" x14ac:dyDescent="0.25">
      <c r="A57" s="94" t="s">
        <v>46</v>
      </c>
      <c r="C57" s="89">
        <f>C12-C56</f>
        <v>79960</v>
      </c>
      <c r="D57" s="86"/>
      <c r="E57" s="86"/>
      <c r="F57" s="86"/>
      <c r="G57" s="89">
        <f>G12-G56</f>
        <v>1043.1599999999744</v>
      </c>
      <c r="H57" s="86"/>
      <c r="I57" s="86"/>
      <c r="J57" s="86"/>
      <c r="K57" s="174"/>
      <c r="L57" s="55"/>
    </row>
    <row r="58" spans="1:15" ht="15" customHeight="1" x14ac:dyDescent="0.25">
      <c r="I58" s="24"/>
    </row>
    <row r="59" spans="1:15" ht="15" customHeight="1" x14ac:dyDescent="0.25">
      <c r="I59" s="24"/>
    </row>
    <row r="60" spans="1:15" ht="15" customHeight="1" x14ac:dyDescent="0.25"/>
    <row r="61" spans="1:15" ht="15" customHeight="1" x14ac:dyDescent="0.25"/>
    <row r="62" spans="1:15" ht="15" customHeight="1" x14ac:dyDescent="0.25"/>
    <row r="63" spans="1:15" ht="15" hidden="1" customHeight="1" x14ac:dyDescent="0.3"/>
    <row r="64" spans="1:15" ht="15" hidden="1" customHeight="1" x14ac:dyDescent="0.3"/>
    <row r="65" spans="2:11" ht="15" hidden="1" customHeight="1" x14ac:dyDescent="0.3"/>
    <row r="66" spans="2:11" ht="15" hidden="1" customHeight="1" x14ac:dyDescent="0.3"/>
    <row r="67" spans="2:11" x14ac:dyDescent="0.25">
      <c r="B67"/>
      <c r="D67"/>
      <c r="F67"/>
      <c r="G67"/>
      <c r="H67"/>
      <c r="I67"/>
      <c r="J67"/>
      <c r="K67" s="113"/>
    </row>
    <row r="68" spans="2:11" x14ac:dyDescent="0.25">
      <c r="B68"/>
      <c r="D68"/>
      <c r="F68"/>
      <c r="G68"/>
      <c r="H68"/>
      <c r="I68"/>
      <c r="J68"/>
      <c r="K68" s="113"/>
    </row>
    <row r="69" spans="2:11" x14ac:dyDescent="0.25">
      <c r="B69"/>
      <c r="D69"/>
      <c r="F69"/>
      <c r="G69"/>
      <c r="H69"/>
      <c r="I69"/>
      <c r="J69"/>
      <c r="K69" s="113"/>
    </row>
    <row r="70" spans="2:11" x14ac:dyDescent="0.25">
      <c r="B70"/>
      <c r="D70"/>
      <c r="F70"/>
      <c r="G70"/>
      <c r="H70"/>
      <c r="I70"/>
      <c r="J70"/>
      <c r="K70" s="113"/>
    </row>
    <row r="71" spans="2:11" x14ac:dyDescent="0.25">
      <c r="B71"/>
      <c r="D71"/>
      <c r="F71"/>
      <c r="G71"/>
      <c r="H71"/>
      <c r="I71"/>
      <c r="J71"/>
      <c r="K71" s="113"/>
    </row>
    <row r="72" spans="2:11" x14ac:dyDescent="0.25">
      <c r="B72"/>
      <c r="D72"/>
      <c r="F72"/>
      <c r="G72"/>
      <c r="H72"/>
      <c r="I72"/>
      <c r="J72"/>
      <c r="K72" s="113"/>
    </row>
    <row r="73" spans="2:11" x14ac:dyDescent="0.25">
      <c r="B73"/>
      <c r="D73"/>
      <c r="F73"/>
      <c r="G73"/>
      <c r="H73"/>
      <c r="I73"/>
      <c r="J73"/>
      <c r="K73" s="113"/>
    </row>
    <row r="74" spans="2:11" x14ac:dyDescent="0.25">
      <c r="B74"/>
      <c r="D74"/>
      <c r="F74"/>
      <c r="G74"/>
      <c r="H74"/>
      <c r="I74"/>
      <c r="J74"/>
      <c r="K74" s="113"/>
    </row>
    <row r="75" spans="2:11" x14ac:dyDescent="0.25">
      <c r="B75"/>
      <c r="D75"/>
      <c r="F75"/>
      <c r="G75"/>
      <c r="H75"/>
      <c r="I75"/>
      <c r="J75"/>
      <c r="K75" s="113"/>
    </row>
    <row r="76" spans="2:11" x14ac:dyDescent="0.25">
      <c r="B76"/>
      <c r="D76"/>
      <c r="F76"/>
      <c r="G76"/>
      <c r="H76"/>
      <c r="I76"/>
      <c r="J76"/>
      <c r="K76" s="113"/>
    </row>
    <row r="77" spans="2:11" x14ac:dyDescent="0.25">
      <c r="B77"/>
      <c r="D77"/>
      <c r="F77"/>
      <c r="G77"/>
      <c r="H77"/>
      <c r="I77"/>
      <c r="J77"/>
      <c r="K77" s="113"/>
    </row>
    <row r="78" spans="2:11" x14ac:dyDescent="0.25">
      <c r="B78"/>
      <c r="D78"/>
      <c r="F78"/>
      <c r="G78"/>
      <c r="H78"/>
      <c r="I78"/>
      <c r="J78"/>
      <c r="K78" s="113"/>
    </row>
    <row r="79" spans="2:11" x14ac:dyDescent="0.25">
      <c r="B79"/>
      <c r="D79"/>
      <c r="F79"/>
      <c r="G79"/>
      <c r="H79"/>
      <c r="I79"/>
      <c r="J79"/>
      <c r="K79" s="113"/>
    </row>
    <row r="80" spans="2:11" x14ac:dyDescent="0.25">
      <c r="B80"/>
      <c r="D80"/>
      <c r="F80"/>
      <c r="G80"/>
      <c r="H80"/>
      <c r="I80"/>
      <c r="J80"/>
      <c r="K80" s="113"/>
    </row>
    <row r="81" spans="2:11" x14ac:dyDescent="0.25">
      <c r="B81"/>
      <c r="D81"/>
      <c r="F81"/>
      <c r="G81"/>
      <c r="H81"/>
      <c r="I81"/>
      <c r="J81"/>
      <c r="K81" s="113"/>
    </row>
    <row r="82" spans="2:11" x14ac:dyDescent="0.25">
      <c r="B82"/>
      <c r="D82"/>
      <c r="F82"/>
      <c r="G82"/>
      <c r="H82"/>
      <c r="I82"/>
      <c r="J82"/>
      <c r="K82" s="113"/>
    </row>
    <row r="83" spans="2:11" x14ac:dyDescent="0.25">
      <c r="B83"/>
      <c r="D83"/>
      <c r="F83"/>
      <c r="G83"/>
      <c r="H83"/>
      <c r="I83"/>
      <c r="J83"/>
      <c r="K83" s="113"/>
    </row>
    <row r="84" spans="2:11" x14ac:dyDescent="0.25">
      <c r="B84"/>
      <c r="D84"/>
      <c r="F84"/>
      <c r="G84"/>
      <c r="H84"/>
      <c r="I84"/>
      <c r="J84"/>
      <c r="K84" s="113"/>
    </row>
    <row r="85" spans="2:11" x14ac:dyDescent="0.25">
      <c r="B85"/>
      <c r="D85"/>
      <c r="F85"/>
      <c r="G85"/>
      <c r="H85"/>
      <c r="I85"/>
      <c r="J85"/>
      <c r="K85" s="113"/>
    </row>
    <row r="86" spans="2:11" x14ac:dyDescent="0.25">
      <c r="B86"/>
      <c r="D86"/>
      <c r="F86"/>
      <c r="G86"/>
      <c r="H86"/>
      <c r="I86"/>
      <c r="J86"/>
      <c r="K86" s="113"/>
    </row>
    <row r="87" spans="2:11" x14ac:dyDescent="0.25">
      <c r="B87"/>
      <c r="D87"/>
      <c r="F87"/>
      <c r="G87"/>
      <c r="H87"/>
      <c r="I87"/>
      <c r="J87"/>
      <c r="K87" s="113"/>
    </row>
    <row r="88" spans="2:11" x14ac:dyDescent="0.25">
      <c r="B88"/>
      <c r="D88"/>
      <c r="F88"/>
      <c r="G88"/>
      <c r="H88"/>
      <c r="I88"/>
      <c r="J88"/>
      <c r="K88" s="113"/>
    </row>
  </sheetData>
  <mergeCells count="4">
    <mergeCell ref="A4:K4"/>
    <mergeCell ref="A1:K1"/>
    <mergeCell ref="A2:K2"/>
    <mergeCell ref="A3:K3"/>
  </mergeCells>
  <printOptions horizontalCentered="1"/>
  <pageMargins left="0.7" right="0.7" top="0.75" bottom="0.75" header="0.3" footer="0.3"/>
  <pageSetup scale="8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37"/>
  <sheetViews>
    <sheetView zoomScaleNormal="100" workbookViewId="0">
      <selection sqref="A1:L39"/>
    </sheetView>
  </sheetViews>
  <sheetFormatPr defaultRowHeight="15" x14ac:dyDescent="0.25"/>
  <cols>
    <col min="1" max="1" width="32.5703125" bestFit="1" customWidth="1"/>
    <col min="2" max="2" width="1.7109375" style="1" customWidth="1"/>
    <col min="3" max="3" width="10.5703125" bestFit="1" customWidth="1"/>
    <col min="4" max="4" width="1.7109375" style="1" customWidth="1"/>
    <col min="5" max="5" width="11.5703125" customWidth="1"/>
    <col min="6" max="6" width="12.42578125" customWidth="1"/>
    <col min="7" max="7" width="1.7109375" style="1" customWidth="1"/>
    <col min="8" max="8" width="11.7109375" style="4" bestFit="1" customWidth="1"/>
    <col min="9" max="9" width="1.7109375" style="1" customWidth="1"/>
    <col min="10" max="10" width="14" style="4" customWidth="1"/>
    <col min="11" max="11" width="1.7109375" style="16" customWidth="1"/>
    <col min="12" max="12" width="10.140625" style="4" customWidth="1"/>
  </cols>
  <sheetData>
    <row r="1" spans="1:22" ht="14.45" customHeight="1" x14ac:dyDescent="0.25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22" ht="14.45" customHeight="1" x14ac:dyDescent="0.25">
      <c r="A2" s="182" t="s">
        <v>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22" ht="14.45" customHeight="1" x14ac:dyDescent="0.25">
      <c r="A3" s="182" t="s">
        <v>53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22" ht="15" customHeight="1" x14ac:dyDescent="0.25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22" ht="14.45" customHeight="1" x14ac:dyDescent="0.25">
      <c r="A5" s="2"/>
      <c r="B5" s="2"/>
      <c r="C5" s="2"/>
      <c r="D5" s="2"/>
      <c r="E5" s="2"/>
      <c r="F5" s="2"/>
      <c r="G5" s="78"/>
      <c r="H5" s="6"/>
      <c r="I5" s="78"/>
      <c r="J5" s="6"/>
      <c r="K5" s="79"/>
      <c r="L5" s="6"/>
    </row>
    <row r="6" spans="1:22" ht="67.150000000000006" customHeight="1" thickBot="1" x14ac:dyDescent="0.3">
      <c r="A6" s="95" t="s">
        <v>3</v>
      </c>
      <c r="B6" s="96"/>
      <c r="C6" s="97" t="s">
        <v>4</v>
      </c>
      <c r="D6" s="98"/>
      <c r="E6" s="97" t="s">
        <v>5</v>
      </c>
      <c r="F6" s="97" t="s">
        <v>261</v>
      </c>
      <c r="G6" s="98"/>
      <c r="H6" s="99" t="s">
        <v>6</v>
      </c>
      <c r="I6" s="98"/>
      <c r="J6" s="100" t="s">
        <v>54</v>
      </c>
      <c r="K6" s="101"/>
      <c r="L6" s="99" t="s">
        <v>55</v>
      </c>
      <c r="M6" s="102"/>
    </row>
    <row r="7" spans="1:22" ht="14.45" customHeight="1" x14ac:dyDescent="0.25">
      <c r="A7" s="102" t="s">
        <v>17</v>
      </c>
      <c r="B7" s="103"/>
      <c r="C7" s="104">
        <v>137248</v>
      </c>
      <c r="D7" s="105"/>
      <c r="E7" s="104">
        <v>17504</v>
      </c>
      <c r="F7" s="104"/>
      <c r="G7" s="105"/>
      <c r="H7" s="106">
        <f>+C7+E7</f>
        <v>154752</v>
      </c>
      <c r="I7" s="105"/>
      <c r="J7" s="106">
        <v>43110</v>
      </c>
      <c r="K7" s="107"/>
      <c r="L7" s="106">
        <f>H7-J7</f>
        <v>111642</v>
      </c>
      <c r="M7" s="102"/>
    </row>
    <row r="8" spans="1:22" ht="14.45" customHeight="1" x14ac:dyDescent="0.25">
      <c r="A8" s="102" t="s">
        <v>18</v>
      </c>
      <c r="B8" s="103"/>
      <c r="C8" s="104">
        <v>128611</v>
      </c>
      <c r="D8" s="105"/>
      <c r="E8" s="104">
        <f>138782-128611</f>
        <v>10171</v>
      </c>
      <c r="F8" s="104"/>
      <c r="G8" s="105"/>
      <c r="H8" s="106">
        <f>+C8+E8</f>
        <v>138782</v>
      </c>
      <c r="I8" s="105"/>
      <c r="J8" s="106">
        <v>0</v>
      </c>
      <c r="K8" s="107"/>
      <c r="L8" s="106">
        <f>H8-J8</f>
        <v>138782</v>
      </c>
      <c r="M8" s="102"/>
    </row>
    <row r="9" spans="1:22" hidden="1" x14ac:dyDescent="0.25">
      <c r="A9" s="102" t="s">
        <v>22</v>
      </c>
      <c r="B9" s="103"/>
      <c r="C9" s="104">
        <v>0</v>
      </c>
      <c r="D9" s="105"/>
      <c r="E9" s="104">
        <v>0</v>
      </c>
      <c r="F9" s="104"/>
      <c r="G9" s="105"/>
      <c r="H9" s="106">
        <f>+C9+E9</f>
        <v>0</v>
      </c>
      <c r="I9" s="105"/>
      <c r="J9" s="106">
        <v>0</v>
      </c>
      <c r="K9" s="107"/>
      <c r="L9" s="106">
        <f>H9-J9</f>
        <v>0</v>
      </c>
      <c r="M9" s="102"/>
    </row>
    <row r="10" spans="1:22" x14ac:dyDescent="0.25">
      <c r="A10" s="108" t="s">
        <v>24</v>
      </c>
      <c r="B10" s="103"/>
      <c r="C10" s="109">
        <f>SUM(C7:C8)</f>
        <v>265859</v>
      </c>
      <c r="D10" s="105"/>
      <c r="E10" s="109">
        <f>SUM(E7:E9)</f>
        <v>27675</v>
      </c>
      <c r="F10" s="109">
        <f>SUM(F7:F9)</f>
        <v>0</v>
      </c>
      <c r="G10" s="105"/>
      <c r="H10" s="110">
        <f>SUM(H7:H9)</f>
        <v>293534</v>
      </c>
      <c r="I10" s="105"/>
      <c r="J10" s="110">
        <f>SUM(J7:J8)</f>
        <v>43110</v>
      </c>
      <c r="K10" s="107"/>
      <c r="L10" s="110">
        <f>SUM(L7:L9)</f>
        <v>250424</v>
      </c>
      <c r="M10" s="102"/>
    </row>
    <row r="11" spans="1:22" hidden="1" x14ac:dyDescent="0.25">
      <c r="A11" s="111" t="s">
        <v>22</v>
      </c>
      <c r="B11" s="103"/>
      <c r="C11" s="105">
        <v>0</v>
      </c>
      <c r="D11" s="105"/>
      <c r="E11" s="105">
        <v>0</v>
      </c>
      <c r="F11" s="105"/>
      <c r="G11" s="105"/>
      <c r="H11" s="107">
        <f>+C11+E11</f>
        <v>0</v>
      </c>
      <c r="I11" s="105"/>
      <c r="J11" s="107">
        <v>0</v>
      </c>
      <c r="K11" s="107"/>
      <c r="L11" s="106">
        <f>H11-J11</f>
        <v>0</v>
      </c>
      <c r="M11" s="102"/>
    </row>
    <row r="12" spans="1:22" hidden="1" x14ac:dyDescent="0.25">
      <c r="A12" s="108" t="s">
        <v>56</v>
      </c>
      <c r="B12" s="103"/>
      <c r="C12" s="109">
        <f>+C11+C10</f>
        <v>265859</v>
      </c>
      <c r="D12" s="105"/>
      <c r="E12" s="109">
        <f>+E11+E10</f>
        <v>27675</v>
      </c>
      <c r="F12" s="105"/>
      <c r="G12" s="105"/>
      <c r="H12" s="109">
        <f>+H11+H10</f>
        <v>293534</v>
      </c>
      <c r="I12" s="105"/>
      <c r="J12" s="109">
        <f>+J11+J10</f>
        <v>43110</v>
      </c>
      <c r="K12" s="107"/>
      <c r="L12" s="109">
        <f>+L11+L10</f>
        <v>250424</v>
      </c>
      <c r="M12" s="102"/>
    </row>
    <row r="13" spans="1:22" x14ac:dyDescent="0.25">
      <c r="A13" s="102"/>
      <c r="B13" s="103"/>
      <c r="C13" s="104"/>
      <c r="D13" s="105"/>
      <c r="E13" s="104"/>
      <c r="F13" s="104"/>
      <c r="G13" s="105"/>
      <c r="H13" s="106"/>
      <c r="I13" s="105"/>
      <c r="J13" s="106"/>
      <c r="K13" s="107"/>
      <c r="L13" s="106"/>
      <c r="M13" s="102"/>
    </row>
    <row r="14" spans="1:22" x14ac:dyDescent="0.25">
      <c r="A14" s="91" t="s">
        <v>25</v>
      </c>
      <c r="B14" s="103"/>
      <c r="C14" s="104">
        <v>24800</v>
      </c>
      <c r="D14" s="105"/>
      <c r="E14" s="106">
        <v>0</v>
      </c>
      <c r="F14" s="106"/>
      <c r="G14" s="105"/>
      <c r="H14" s="106">
        <f>+C14+E14+F14</f>
        <v>24800</v>
      </c>
      <c r="I14" s="105"/>
      <c r="J14" s="106">
        <v>24800</v>
      </c>
      <c r="K14" s="107"/>
      <c r="L14" s="106">
        <f t="shared" ref="L14:L34" si="0">H14-J14</f>
        <v>0</v>
      </c>
      <c r="M14" s="102"/>
    </row>
    <row r="15" spans="1:22" x14ac:dyDescent="0.25">
      <c r="A15" s="91" t="s">
        <v>57</v>
      </c>
      <c r="B15" s="103"/>
      <c r="C15" s="104">
        <v>0</v>
      </c>
      <c r="D15" s="105"/>
      <c r="E15" s="175">
        <f>1000+6500+13000+182+100</f>
        <v>20782</v>
      </c>
      <c r="F15" s="175">
        <f>2050+5000+7000+1500+1000+2000+946+500+1500+1000+4984</f>
        <v>27480</v>
      </c>
      <c r="G15" s="105"/>
      <c r="H15" s="106">
        <f t="shared" ref="H15:H34" si="1">+C15+E15+F15</f>
        <v>48262</v>
      </c>
      <c r="I15" s="105"/>
      <c r="J15" s="106">
        <f>1000+7257+1037.07+850+6371.17+375+34360+1000+1571.21+3790</f>
        <v>57611.45</v>
      </c>
      <c r="K15" s="107"/>
      <c r="L15" s="106">
        <f t="shared" si="0"/>
        <v>-9349.4499999999971</v>
      </c>
      <c r="M15" s="102"/>
      <c r="V15" s="106">
        <f>7257+3471.17+30260+1000+3000</f>
        <v>44988.17</v>
      </c>
    </row>
    <row r="16" spans="1:22" x14ac:dyDescent="0.25">
      <c r="A16" s="91" t="s">
        <v>58</v>
      </c>
      <c r="B16" s="103"/>
      <c r="C16" s="104">
        <v>0</v>
      </c>
      <c r="D16" s="105"/>
      <c r="E16" s="175">
        <v>0</v>
      </c>
      <c r="F16" s="175">
        <v>16</v>
      </c>
      <c r="G16" s="105"/>
      <c r="H16" s="106">
        <f t="shared" si="1"/>
        <v>16</v>
      </c>
      <c r="I16" s="105"/>
      <c r="J16" s="106">
        <v>16.37</v>
      </c>
      <c r="K16" s="107"/>
      <c r="L16" s="106">
        <f t="shared" si="0"/>
        <v>-0.37000000000000099</v>
      </c>
      <c r="M16" s="102"/>
      <c r="V16" s="106">
        <v>16.37</v>
      </c>
    </row>
    <row r="17" spans="1:23" x14ac:dyDescent="0.25">
      <c r="A17" s="91" t="s">
        <v>59</v>
      </c>
      <c r="B17" s="103"/>
      <c r="C17" s="104">
        <v>0</v>
      </c>
      <c r="D17" s="105"/>
      <c r="E17" s="175">
        <v>35000</v>
      </c>
      <c r="F17" s="175">
        <v>5171</v>
      </c>
      <c r="G17" s="105"/>
      <c r="H17" s="106">
        <f t="shared" si="1"/>
        <v>40171</v>
      </c>
      <c r="I17" s="105"/>
      <c r="J17" s="106">
        <f>787.49+1907.63+84+34607.17+147</f>
        <v>37533.29</v>
      </c>
      <c r="K17" s="107"/>
      <c r="L17" s="106">
        <f t="shared" si="0"/>
        <v>2637.7099999999991</v>
      </c>
      <c r="M17" s="102"/>
      <c r="V17" s="106">
        <f>787.49+1907.63+84+28141.47+147+1481.9+3412.8+1130.75</f>
        <v>37093.040000000001</v>
      </c>
    </row>
    <row r="18" spans="1:23" x14ac:dyDescent="0.25">
      <c r="A18" s="91" t="s">
        <v>60</v>
      </c>
      <c r="B18" s="103"/>
      <c r="C18" s="104">
        <v>0</v>
      </c>
      <c r="D18" s="105"/>
      <c r="E18" s="175">
        <f>1000+3000+462+1300</f>
        <v>5762</v>
      </c>
      <c r="F18" s="175">
        <v>-946</v>
      </c>
      <c r="G18" s="105"/>
      <c r="H18" s="106">
        <f t="shared" si="1"/>
        <v>4816</v>
      </c>
      <c r="I18" s="105"/>
      <c r="J18" s="106">
        <f>1562.49+2476.88+2713.23+46.73</f>
        <v>6799.33</v>
      </c>
      <c r="K18" s="107"/>
      <c r="L18" s="106">
        <f t="shared" si="0"/>
        <v>-1983.33</v>
      </c>
      <c r="M18" s="102"/>
      <c r="V18" s="106">
        <f>1550.55+674.7+2285+46.73+218.68</f>
        <v>4775.66</v>
      </c>
    </row>
    <row r="19" spans="1:23" x14ac:dyDescent="0.25">
      <c r="A19" s="91" t="s">
        <v>61</v>
      </c>
      <c r="B19" s="103"/>
      <c r="C19" s="104">
        <v>0</v>
      </c>
      <c r="D19" s="105"/>
      <c r="E19" s="176">
        <v>2000</v>
      </c>
      <c r="F19" s="176">
        <v>-500</v>
      </c>
      <c r="G19" s="105"/>
      <c r="H19" s="106">
        <f t="shared" si="1"/>
        <v>1500</v>
      </c>
      <c r="I19" s="105"/>
      <c r="J19" s="106">
        <v>3506.19</v>
      </c>
      <c r="K19" s="107"/>
      <c r="L19" s="106">
        <f t="shared" si="0"/>
        <v>-2006.19</v>
      </c>
      <c r="M19" s="102"/>
      <c r="V19" s="106">
        <v>2712</v>
      </c>
    </row>
    <row r="20" spans="1:23" x14ac:dyDescent="0.25">
      <c r="A20" s="91" t="s">
        <v>62</v>
      </c>
      <c r="B20" s="103"/>
      <c r="C20" s="104">
        <v>0</v>
      </c>
      <c r="D20" s="105"/>
      <c r="E20" s="176">
        <v>58470</v>
      </c>
      <c r="F20" s="176">
        <f>-5000-2050</f>
        <v>-7050</v>
      </c>
      <c r="G20" s="105"/>
      <c r="H20" s="106">
        <f t="shared" si="1"/>
        <v>51420</v>
      </c>
      <c r="I20" s="105"/>
      <c r="J20" s="106">
        <f>9259.57+38347.29</f>
        <v>47606.86</v>
      </c>
      <c r="K20" s="107"/>
      <c r="L20" s="106">
        <f t="shared" si="0"/>
        <v>3813.1399999999994</v>
      </c>
      <c r="M20" s="102"/>
      <c r="V20" s="106">
        <f>9259.57+32213.28</f>
        <v>41472.85</v>
      </c>
      <c r="W20" s="106"/>
    </row>
    <row r="21" spans="1:23" x14ac:dyDescent="0.25">
      <c r="A21" s="114" t="s">
        <v>63</v>
      </c>
      <c r="B21" s="115"/>
      <c r="C21" s="106">
        <v>0</v>
      </c>
      <c r="D21" s="107"/>
      <c r="E21" s="106">
        <v>3000</v>
      </c>
      <c r="F21" s="106">
        <f>1500+601</f>
        <v>2101</v>
      </c>
      <c r="G21" s="105"/>
      <c r="H21" s="106">
        <f t="shared" si="1"/>
        <v>5101</v>
      </c>
      <c r="I21" s="105"/>
      <c r="J21" s="106">
        <v>9072.07</v>
      </c>
      <c r="K21" s="107"/>
      <c r="L21" s="106">
        <f t="shared" si="0"/>
        <v>-3971.0699999999997</v>
      </c>
      <c r="M21" s="102"/>
      <c r="T21" t="s">
        <v>64</v>
      </c>
      <c r="V21" s="106">
        <v>6024.47</v>
      </c>
    </row>
    <row r="22" spans="1:23" x14ac:dyDescent="0.25">
      <c r="A22" s="91" t="s">
        <v>65</v>
      </c>
      <c r="B22" s="103"/>
      <c r="C22" s="104">
        <v>0</v>
      </c>
      <c r="D22" s="105"/>
      <c r="E22" s="176">
        <v>10000</v>
      </c>
      <c r="F22" s="176">
        <v>-2000</v>
      </c>
      <c r="G22" s="105"/>
      <c r="H22" s="106">
        <f t="shared" si="1"/>
        <v>8000</v>
      </c>
      <c r="I22" s="105"/>
      <c r="J22" s="106">
        <f>3502.21+6353.64</f>
        <v>9855.85</v>
      </c>
      <c r="K22" s="107"/>
      <c r="L22" s="106">
        <f t="shared" si="0"/>
        <v>-1855.8500000000004</v>
      </c>
      <c r="M22" s="102"/>
      <c r="V22" s="106">
        <f>3892.21+2114.86+1520+1620</f>
        <v>9147.07</v>
      </c>
    </row>
    <row r="23" spans="1:23" x14ac:dyDescent="0.25">
      <c r="A23" s="91" t="s">
        <v>66</v>
      </c>
      <c r="B23" s="103"/>
      <c r="C23" s="104">
        <v>0</v>
      </c>
      <c r="D23" s="105"/>
      <c r="E23" s="176">
        <v>10000</v>
      </c>
      <c r="F23" s="176">
        <v>-7000</v>
      </c>
      <c r="G23" s="105"/>
      <c r="H23" s="106">
        <f t="shared" si="1"/>
        <v>3000</v>
      </c>
      <c r="I23" s="105"/>
      <c r="J23" s="106">
        <f>5174+795</f>
        <v>5969</v>
      </c>
      <c r="K23" s="107"/>
      <c r="L23" s="106">
        <f t="shared" si="0"/>
        <v>-2969</v>
      </c>
      <c r="M23" s="102"/>
      <c r="V23" s="106">
        <f>4601+795</f>
        <v>5396</v>
      </c>
    </row>
    <row r="24" spans="1:23" ht="14.45" customHeight="1" x14ac:dyDescent="0.25">
      <c r="A24" s="91" t="s">
        <v>67</v>
      </c>
      <c r="B24" s="103"/>
      <c r="C24" s="104">
        <v>0</v>
      </c>
      <c r="D24" s="105"/>
      <c r="E24" s="176">
        <v>10700</v>
      </c>
      <c r="F24" s="176">
        <f>-1500-117</f>
        <v>-1617</v>
      </c>
      <c r="G24" s="105"/>
      <c r="H24" s="106">
        <f t="shared" si="1"/>
        <v>9083</v>
      </c>
      <c r="I24" s="105"/>
      <c r="J24" s="106">
        <v>9188</v>
      </c>
      <c r="K24" s="107"/>
      <c r="L24" s="106">
        <f t="shared" si="0"/>
        <v>-105</v>
      </c>
      <c r="M24" s="102"/>
      <c r="V24" s="106">
        <v>6692</v>
      </c>
    </row>
    <row r="25" spans="1:23" ht="14.45" customHeight="1" x14ac:dyDescent="0.25">
      <c r="A25" s="91" t="s">
        <v>68</v>
      </c>
      <c r="B25" s="103"/>
      <c r="C25" s="104">
        <v>0</v>
      </c>
      <c r="D25" s="105"/>
      <c r="E25" s="176">
        <f>6200-1400</f>
        <v>4800</v>
      </c>
      <c r="F25" s="176">
        <v>117</v>
      </c>
      <c r="G25" s="105"/>
      <c r="H25" s="106">
        <f t="shared" si="1"/>
        <v>4917</v>
      </c>
      <c r="I25" s="105"/>
      <c r="J25" s="106">
        <v>6817</v>
      </c>
      <c r="K25" s="107"/>
      <c r="L25" s="106">
        <f t="shared" si="0"/>
        <v>-1900</v>
      </c>
      <c r="M25" s="102"/>
      <c r="V25" s="106">
        <v>6817</v>
      </c>
    </row>
    <row r="26" spans="1:23" ht="14.45" customHeight="1" x14ac:dyDescent="0.25">
      <c r="A26" s="91" t="s">
        <v>69</v>
      </c>
      <c r="B26" s="103"/>
      <c r="C26" s="104">
        <v>0</v>
      </c>
      <c r="D26" s="105"/>
      <c r="E26" s="176">
        <v>44700</v>
      </c>
      <c r="F26" s="176"/>
      <c r="G26" s="105"/>
      <c r="H26" s="106">
        <f t="shared" si="1"/>
        <v>44700</v>
      </c>
      <c r="I26" s="105"/>
      <c r="J26" s="106">
        <f>38363+25+12221</f>
        <v>50609</v>
      </c>
      <c r="K26" s="107"/>
      <c r="L26" s="106">
        <f t="shared" si="0"/>
        <v>-5909</v>
      </c>
      <c r="M26" s="102"/>
      <c r="V26" s="106">
        <f>37593+25-50+12271</f>
        <v>49839</v>
      </c>
    </row>
    <row r="27" spans="1:23" ht="14.45" customHeight="1" x14ac:dyDescent="0.25">
      <c r="A27" s="91" t="s">
        <v>70</v>
      </c>
      <c r="B27" s="103"/>
      <c r="C27" s="104">
        <v>0</v>
      </c>
      <c r="D27" s="105"/>
      <c r="E27" s="176">
        <v>2500</v>
      </c>
      <c r="F27" s="176">
        <v>-1000</v>
      </c>
      <c r="G27" s="105"/>
      <c r="H27" s="106">
        <f t="shared" si="1"/>
        <v>1500</v>
      </c>
      <c r="I27" s="105"/>
      <c r="J27" s="106">
        <v>3135.57</v>
      </c>
      <c r="K27" s="107"/>
      <c r="L27" s="106">
        <f t="shared" si="0"/>
        <v>-1635.5700000000002</v>
      </c>
      <c r="M27" s="102"/>
      <c r="V27" s="106">
        <v>2094.35</v>
      </c>
    </row>
    <row r="28" spans="1:23" ht="14.45" customHeight="1" x14ac:dyDescent="0.25">
      <c r="A28" s="91" t="s">
        <v>170</v>
      </c>
      <c r="B28" s="103"/>
      <c r="C28" s="104">
        <v>0</v>
      </c>
      <c r="D28" s="105"/>
      <c r="E28" s="176">
        <v>6000</v>
      </c>
      <c r="F28" s="176"/>
      <c r="G28" s="105"/>
      <c r="H28" s="106">
        <f t="shared" si="1"/>
        <v>6000</v>
      </c>
      <c r="I28" s="105"/>
      <c r="J28" s="106">
        <v>2093</v>
      </c>
      <c r="K28" s="107"/>
      <c r="L28" s="106">
        <f t="shared" si="0"/>
        <v>3907</v>
      </c>
      <c r="M28" s="102"/>
      <c r="V28" s="106">
        <f>2093+2259+1348</f>
        <v>5700</v>
      </c>
    </row>
    <row r="29" spans="1:23" x14ac:dyDescent="0.25">
      <c r="A29" s="91" t="s">
        <v>71</v>
      </c>
      <c r="B29" s="103"/>
      <c r="C29" s="104">
        <v>0</v>
      </c>
      <c r="D29" s="105"/>
      <c r="E29" s="176">
        <f>4210+2500</f>
        <v>6710</v>
      </c>
      <c r="F29" s="176">
        <v>-1500</v>
      </c>
      <c r="G29" s="105"/>
      <c r="H29" s="106">
        <f t="shared" si="1"/>
        <v>5210</v>
      </c>
      <c r="I29" s="105"/>
      <c r="J29" s="106">
        <v>5429</v>
      </c>
      <c r="K29" s="107"/>
      <c r="L29" s="106">
        <f t="shared" si="0"/>
        <v>-219</v>
      </c>
      <c r="M29" s="102"/>
      <c r="V29" s="106">
        <v>5429</v>
      </c>
    </row>
    <row r="30" spans="1:23" x14ac:dyDescent="0.25">
      <c r="A30" s="91" t="s">
        <v>72</v>
      </c>
      <c r="B30" s="103"/>
      <c r="C30" s="104">
        <v>0</v>
      </c>
      <c r="D30" s="105"/>
      <c r="E30" s="176">
        <f>4779+504+356</f>
        <v>5639</v>
      </c>
      <c r="F30" s="176"/>
      <c r="G30" s="105"/>
      <c r="H30" s="106">
        <f t="shared" si="1"/>
        <v>5639</v>
      </c>
      <c r="I30" s="105"/>
      <c r="J30" s="106">
        <v>4699.17</v>
      </c>
      <c r="K30" s="107"/>
      <c r="L30" s="106">
        <f t="shared" si="0"/>
        <v>939.82999999999993</v>
      </c>
      <c r="M30" s="102"/>
      <c r="V30" s="106">
        <v>5639</v>
      </c>
    </row>
    <row r="31" spans="1:23" x14ac:dyDescent="0.25">
      <c r="A31" s="91" t="s">
        <v>73</v>
      </c>
      <c r="B31" s="103"/>
      <c r="C31" s="104">
        <v>0</v>
      </c>
      <c r="D31" s="105"/>
      <c r="E31" s="176">
        <v>5000</v>
      </c>
      <c r="F31" s="176">
        <v>10460</v>
      </c>
      <c r="G31" s="105"/>
      <c r="H31" s="106">
        <f t="shared" si="1"/>
        <v>15460</v>
      </c>
      <c r="I31" s="105"/>
      <c r="J31" s="106">
        <f>11388.69+2860.5</f>
        <v>14249.19</v>
      </c>
      <c r="K31" s="107"/>
      <c r="L31" s="106">
        <f t="shared" si="0"/>
        <v>1210.8099999999995</v>
      </c>
      <c r="M31" s="102"/>
      <c r="O31" s="106"/>
      <c r="V31" s="106">
        <f>10257.94+2860.5</f>
        <v>13118.44</v>
      </c>
    </row>
    <row r="32" spans="1:23" x14ac:dyDescent="0.25">
      <c r="A32" s="91" t="s">
        <v>200</v>
      </c>
      <c r="B32" s="103"/>
      <c r="C32" s="104">
        <v>0</v>
      </c>
      <c r="D32" s="105"/>
      <c r="E32" s="176">
        <v>0</v>
      </c>
      <c r="F32" s="176">
        <v>877</v>
      </c>
      <c r="G32" s="105"/>
      <c r="H32" s="106">
        <f t="shared" si="1"/>
        <v>877</v>
      </c>
      <c r="I32" s="105"/>
      <c r="J32" s="106">
        <v>876.93</v>
      </c>
      <c r="K32" s="107"/>
      <c r="L32" s="106">
        <f t="shared" si="0"/>
        <v>7.0000000000050022E-2</v>
      </c>
      <c r="M32" s="102"/>
      <c r="V32" s="106">
        <v>876.93</v>
      </c>
    </row>
    <row r="33" spans="1:22" x14ac:dyDescent="0.25">
      <c r="A33" s="91" t="s">
        <v>169</v>
      </c>
      <c r="B33" s="103"/>
      <c r="C33" s="104">
        <v>0</v>
      </c>
      <c r="D33" s="105"/>
      <c r="E33" s="176">
        <v>25000</v>
      </c>
      <c r="F33" s="176">
        <f>-1000-10460-877</f>
        <v>-12337</v>
      </c>
      <c r="G33" s="105"/>
      <c r="H33" s="106">
        <f t="shared" si="1"/>
        <v>12663</v>
      </c>
      <c r="I33" s="105"/>
      <c r="J33" s="106">
        <v>9000</v>
      </c>
      <c r="K33" s="107"/>
      <c r="L33" s="106">
        <f t="shared" si="0"/>
        <v>3663</v>
      </c>
      <c r="M33" s="102"/>
      <c r="V33" s="106">
        <f>9500+3000</f>
        <v>12500</v>
      </c>
    </row>
    <row r="34" spans="1:22" x14ac:dyDescent="0.25">
      <c r="A34" s="91" t="s">
        <v>171</v>
      </c>
      <c r="B34" s="103"/>
      <c r="C34" s="104">
        <v>0</v>
      </c>
      <c r="D34" s="105"/>
      <c r="E34" s="176">
        <v>2500</v>
      </c>
      <c r="F34" s="176">
        <f>-1500-601</f>
        <v>-2101</v>
      </c>
      <c r="G34" s="105"/>
      <c r="H34" s="106">
        <f t="shared" si="1"/>
        <v>399</v>
      </c>
      <c r="I34" s="105"/>
      <c r="J34" s="106"/>
      <c r="K34" s="107"/>
      <c r="L34" s="106">
        <f t="shared" si="0"/>
        <v>399</v>
      </c>
      <c r="M34" s="102"/>
      <c r="V34" s="106">
        <v>0</v>
      </c>
    </row>
    <row r="35" spans="1:22" x14ac:dyDescent="0.25">
      <c r="A35" s="94" t="s">
        <v>45</v>
      </c>
      <c r="B35" s="103"/>
      <c r="C35" s="109">
        <f>SUM(C14:C34)</f>
        <v>24800</v>
      </c>
      <c r="D35" s="105"/>
      <c r="E35" s="109">
        <f>SUM(E14:E34)</f>
        <v>258563</v>
      </c>
      <c r="F35" s="109">
        <f>SUM(F14:F34)</f>
        <v>10171</v>
      </c>
      <c r="G35" s="105"/>
      <c r="H35" s="109">
        <f>SUM(H14:H34)</f>
        <v>293534</v>
      </c>
      <c r="I35" s="105"/>
      <c r="J35" s="109">
        <f>SUM(J14:J34)</f>
        <v>308867.27</v>
      </c>
      <c r="K35" s="105"/>
      <c r="L35" s="109">
        <f>SUM(L14:L34)</f>
        <v>-15333.270000000004</v>
      </c>
      <c r="M35" s="102"/>
    </row>
    <row r="36" spans="1:22" x14ac:dyDescent="0.25">
      <c r="A36" s="94" t="s">
        <v>46</v>
      </c>
      <c r="B36" s="103"/>
      <c r="C36" s="109">
        <f>C12-C35</f>
        <v>241059</v>
      </c>
      <c r="D36" s="105"/>
      <c r="E36" s="105"/>
      <c r="F36" s="105"/>
      <c r="G36" s="105"/>
      <c r="H36" s="109">
        <f>H12-H35</f>
        <v>0</v>
      </c>
      <c r="I36" s="105"/>
      <c r="J36" s="105"/>
      <c r="K36" s="105"/>
      <c r="L36" s="105"/>
      <c r="M36" s="102"/>
    </row>
    <row r="37" spans="1:22" x14ac:dyDescent="0.25">
      <c r="A37" s="102"/>
      <c r="B37" s="103"/>
      <c r="C37" s="102"/>
      <c r="D37" s="103"/>
      <c r="E37" s="102"/>
      <c r="F37" s="102"/>
      <c r="G37" s="103"/>
      <c r="H37" s="116"/>
      <c r="I37" s="103"/>
      <c r="J37" s="117"/>
      <c r="K37" s="115"/>
      <c r="L37" s="116"/>
      <c r="M37" s="102"/>
    </row>
  </sheetData>
  <mergeCells count="4">
    <mergeCell ref="A1:L1"/>
    <mergeCell ref="A2:L2"/>
    <mergeCell ref="A3:L3"/>
    <mergeCell ref="A4:L4"/>
  </mergeCells>
  <printOptions horizontalCentered="1"/>
  <pageMargins left="0.25" right="0.25" top="0.25" bottom="0.3" header="0.3" footer="0"/>
  <pageSetup orientation="landscape" r:id="rId1"/>
  <headerFooter scaleWithDoc="0" alignWithMargins="0">
    <firstFooter>&amp;R
&amp;P&amp;N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5"/>
  <sheetViews>
    <sheetView zoomScaleNormal="100" workbookViewId="0">
      <selection activeCell="G18" sqref="G18"/>
    </sheetView>
  </sheetViews>
  <sheetFormatPr defaultRowHeight="15" x14ac:dyDescent="0.25"/>
  <cols>
    <col min="1" max="1" width="32.5703125" bestFit="1" customWidth="1"/>
    <col min="2" max="2" width="1.7109375" style="1" customWidth="1"/>
    <col min="3" max="3" width="10.5703125" bestFit="1" customWidth="1"/>
    <col min="4" max="4" width="1.7109375" style="1" customWidth="1"/>
    <col min="5" max="5" width="11.5703125" customWidth="1"/>
    <col min="6" max="6" width="1.7109375" style="1" customWidth="1"/>
    <col min="7" max="7" width="11.7109375" style="4" bestFit="1" customWidth="1"/>
    <col min="8" max="8" width="1.7109375" style="1" customWidth="1"/>
    <col min="9" max="9" width="14" style="4" customWidth="1"/>
    <col min="10" max="10" width="1.7109375" style="16" customWidth="1"/>
    <col min="11" max="11" width="10.140625" style="4" customWidth="1"/>
  </cols>
  <sheetData>
    <row r="1" spans="1:12" ht="14.45" x14ac:dyDescent="0.3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ht="14.45" x14ac:dyDescent="0.3">
      <c r="A2" s="182" t="s">
        <v>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2" ht="14.45" x14ac:dyDescent="0.3">
      <c r="A3" s="182" t="s">
        <v>53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2" ht="15" customHeight="1" x14ac:dyDescent="0.3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2" ht="14.45" x14ac:dyDescent="0.3">
      <c r="A5" s="2"/>
      <c r="B5" s="2"/>
      <c r="C5" s="2"/>
      <c r="D5" s="2"/>
      <c r="E5" s="2"/>
      <c r="F5" s="78"/>
      <c r="G5" s="6"/>
      <c r="H5" s="78"/>
      <c r="I5" s="6"/>
      <c r="J5" s="79"/>
      <c r="K5" s="6"/>
    </row>
    <row r="6" spans="1:12" ht="67.150000000000006" thickBot="1" x14ac:dyDescent="0.35">
      <c r="A6" s="95" t="s">
        <v>3</v>
      </c>
      <c r="B6" s="96"/>
      <c r="C6" s="97" t="s">
        <v>4</v>
      </c>
      <c r="D6" s="98"/>
      <c r="E6" s="97" t="s">
        <v>5</v>
      </c>
      <c r="F6" s="98"/>
      <c r="G6" s="99" t="s">
        <v>6</v>
      </c>
      <c r="H6" s="98"/>
      <c r="I6" s="100" t="s">
        <v>54</v>
      </c>
      <c r="J6" s="101"/>
      <c r="K6" s="99" t="s">
        <v>55</v>
      </c>
      <c r="L6" s="102"/>
    </row>
    <row r="7" spans="1:12" ht="14.45" x14ac:dyDescent="0.3">
      <c r="A7" s="102" t="s">
        <v>17</v>
      </c>
      <c r="B7" s="103"/>
      <c r="C7" s="104">
        <v>32688</v>
      </c>
      <c r="D7" s="105"/>
      <c r="E7" s="104">
        <v>4227</v>
      </c>
      <c r="F7" s="105"/>
      <c r="G7" s="106">
        <f>+C7+E7</f>
        <v>36915</v>
      </c>
      <c r="H7" s="105"/>
      <c r="I7" s="106">
        <v>9735</v>
      </c>
      <c r="J7" s="107"/>
      <c r="K7" s="106">
        <f>G7-I7</f>
        <v>27180</v>
      </c>
      <c r="L7" s="102"/>
    </row>
    <row r="8" spans="1:12" ht="14.45" x14ac:dyDescent="0.3">
      <c r="A8" s="102" t="s">
        <v>18</v>
      </c>
      <c r="B8" s="103"/>
      <c r="C8" s="104">
        <v>31050</v>
      </c>
      <c r="D8" s="105"/>
      <c r="E8" s="104">
        <f>33390-31050</f>
        <v>2340</v>
      </c>
      <c r="F8" s="105"/>
      <c r="G8" s="106">
        <f>+C8+E8</f>
        <v>33390</v>
      </c>
      <c r="H8" s="105"/>
      <c r="I8" s="106">
        <v>0</v>
      </c>
      <c r="J8" s="107"/>
      <c r="K8" s="106">
        <f>G8-I8</f>
        <v>33390</v>
      </c>
      <c r="L8" s="102"/>
    </row>
    <row r="9" spans="1:12" ht="14.45" x14ac:dyDescent="0.3">
      <c r="A9" s="108" t="s">
        <v>24</v>
      </c>
      <c r="B9" s="103"/>
      <c r="C9" s="109">
        <f>SUM(C7:C8)</f>
        <v>63738</v>
      </c>
      <c r="D9" s="105"/>
      <c r="E9" s="109">
        <f>SUM(E7:E8)</f>
        <v>6567</v>
      </c>
      <c r="F9" s="105"/>
      <c r="G9" s="110">
        <f>SUM(G7:G8)</f>
        <v>70305</v>
      </c>
      <c r="H9" s="105"/>
      <c r="I9" s="110">
        <f>SUM(I7:I8)</f>
        <v>9735</v>
      </c>
      <c r="J9" s="107"/>
      <c r="K9" s="110">
        <f>SUM(K7:K8)</f>
        <v>60570</v>
      </c>
      <c r="L9" s="102"/>
    </row>
    <row r="10" spans="1:12" ht="14.45" x14ac:dyDescent="0.3">
      <c r="A10" s="102"/>
      <c r="B10" s="103"/>
      <c r="C10" s="104"/>
      <c r="D10" s="105"/>
      <c r="E10" s="104"/>
      <c r="F10" s="105"/>
      <c r="G10" s="106"/>
      <c r="H10" s="105"/>
      <c r="I10" s="106"/>
      <c r="J10" s="107"/>
      <c r="K10" s="106"/>
      <c r="L10" s="102"/>
    </row>
    <row r="11" spans="1:12" ht="14.45" x14ac:dyDescent="0.3">
      <c r="A11" s="91" t="s">
        <v>25</v>
      </c>
      <c r="B11" s="103"/>
      <c r="C11" s="104">
        <v>6000</v>
      </c>
      <c r="D11" s="105"/>
      <c r="E11" s="104">
        <v>0</v>
      </c>
      <c r="F11" s="105"/>
      <c r="G11" s="106">
        <f>C11-E11</f>
        <v>6000</v>
      </c>
      <c r="H11" s="105"/>
      <c r="I11" s="106">
        <v>6000</v>
      </c>
      <c r="J11" s="107"/>
      <c r="K11" s="106">
        <f>G11-I11</f>
        <v>0</v>
      </c>
      <c r="L11" s="102"/>
    </row>
    <row r="12" spans="1:12" x14ac:dyDescent="0.25">
      <c r="A12" s="91" t="s">
        <v>74</v>
      </c>
      <c r="B12" s="103"/>
      <c r="C12" s="104">
        <v>0</v>
      </c>
      <c r="D12" s="105"/>
      <c r="E12" s="104">
        <f>57738+4227+2340</f>
        <v>64305</v>
      </c>
      <c r="F12" s="105"/>
      <c r="G12" s="106">
        <f>+C12+E12</f>
        <v>64305</v>
      </c>
      <c r="H12" s="105"/>
      <c r="I12" s="106">
        <v>64305</v>
      </c>
      <c r="J12" s="107"/>
      <c r="K12" s="106">
        <f>G12-I12</f>
        <v>0</v>
      </c>
      <c r="L12" s="102"/>
    </row>
    <row r="13" spans="1:12" x14ac:dyDescent="0.25">
      <c r="A13" s="94" t="s">
        <v>45</v>
      </c>
      <c r="B13" s="103"/>
      <c r="C13" s="109">
        <f>SUM(C11:C12)</f>
        <v>6000</v>
      </c>
      <c r="D13" s="109"/>
      <c r="E13" s="109">
        <f>SUM(E11:E12)</f>
        <v>64305</v>
      </c>
      <c r="F13" s="105"/>
      <c r="G13" s="109">
        <f>SUM(G11:G12)</f>
        <v>70305</v>
      </c>
      <c r="H13" s="105"/>
      <c r="I13" s="109">
        <f>SUM(I11:I12)</f>
        <v>70305</v>
      </c>
      <c r="J13" s="105"/>
      <c r="K13" s="109">
        <f>SUM(K11:K12)</f>
        <v>0</v>
      </c>
      <c r="L13" s="102"/>
    </row>
    <row r="14" spans="1:12" x14ac:dyDescent="0.25">
      <c r="A14" s="94" t="s">
        <v>46</v>
      </c>
      <c r="B14" s="103"/>
      <c r="C14" s="109">
        <f>C9-C13</f>
        <v>57738</v>
      </c>
      <c r="D14" s="109"/>
      <c r="E14" s="105"/>
      <c r="F14" s="105"/>
      <c r="G14" s="109">
        <f>G9-G13</f>
        <v>0</v>
      </c>
      <c r="H14" s="105"/>
      <c r="I14" s="105"/>
      <c r="J14" s="105"/>
      <c r="K14" s="105"/>
      <c r="L14" s="102"/>
    </row>
    <row r="15" spans="1:12" x14ac:dyDescent="0.25">
      <c r="A15" s="102"/>
      <c r="B15" s="103"/>
      <c r="C15" s="102"/>
      <c r="D15" s="103"/>
      <c r="E15" s="102"/>
      <c r="F15" s="103"/>
      <c r="G15" s="116"/>
      <c r="H15" s="103"/>
      <c r="I15" s="116"/>
      <c r="J15" s="115"/>
      <c r="K15" s="116"/>
      <c r="L15" s="102"/>
    </row>
  </sheetData>
  <mergeCells count="4">
    <mergeCell ref="A1:K1"/>
    <mergeCell ref="A2:K2"/>
    <mergeCell ref="A3:K3"/>
    <mergeCell ref="A4:K4"/>
  </mergeCells>
  <printOptions horizontalCentered="1"/>
  <pageMargins left="0.25" right="0.25" top="0.25" bottom="0.3" header="0.3" footer="0"/>
  <pageSetup orientation="landscape" r:id="rId1"/>
  <headerFooter scaleWithDoc="0">
    <firstFooter>&amp;R
&amp;P&amp;N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9"/>
  <sheetViews>
    <sheetView zoomScaleNormal="100" workbookViewId="0">
      <selection activeCell="L16" sqref="L16"/>
    </sheetView>
  </sheetViews>
  <sheetFormatPr defaultRowHeight="15" x14ac:dyDescent="0.25"/>
  <cols>
    <col min="1" max="1" width="35.42578125" bestFit="1" customWidth="1"/>
    <col min="2" max="2" width="2.7109375" style="1" customWidth="1"/>
    <col min="3" max="3" width="10.5703125" bestFit="1" customWidth="1"/>
    <col min="4" max="4" width="1.7109375" style="1" customWidth="1"/>
    <col min="5" max="5" width="11.5703125" customWidth="1"/>
    <col min="6" max="6" width="1.7109375" style="1" customWidth="1"/>
    <col min="7" max="7" width="11.7109375" style="4" bestFit="1" customWidth="1"/>
    <col min="8" max="8" width="1.7109375" style="1" customWidth="1"/>
    <col min="9" max="9" width="14" style="4" customWidth="1"/>
    <col min="10" max="10" width="1.7109375" style="16" customWidth="1"/>
    <col min="11" max="11" width="10.140625" style="4" customWidth="1"/>
  </cols>
  <sheetData>
    <row r="1" spans="1:13" ht="14.45" x14ac:dyDescent="0.3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3" ht="14.45" x14ac:dyDescent="0.3">
      <c r="A2" s="182" t="s">
        <v>75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 ht="14.45" x14ac:dyDescent="0.3">
      <c r="A3" s="182" t="s">
        <v>76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3" ht="12.75" customHeight="1" x14ac:dyDescent="0.3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3" ht="14.45" x14ac:dyDescent="0.3">
      <c r="A5" s="2"/>
      <c r="B5" s="2"/>
      <c r="C5" s="2"/>
      <c r="D5" s="78"/>
      <c r="E5" s="2"/>
      <c r="F5" s="78"/>
      <c r="G5" s="6"/>
      <c r="H5" s="78"/>
      <c r="I5" s="6"/>
      <c r="J5" s="79"/>
      <c r="K5" s="6"/>
    </row>
    <row r="6" spans="1:13" ht="67.150000000000006" thickBot="1" x14ac:dyDescent="0.35">
      <c r="A6" s="95" t="s">
        <v>3</v>
      </c>
      <c r="B6" s="96"/>
      <c r="C6" s="97" t="s">
        <v>4</v>
      </c>
      <c r="D6" s="98"/>
      <c r="E6" s="97" t="s">
        <v>5</v>
      </c>
      <c r="F6" s="98"/>
      <c r="G6" s="99" t="s">
        <v>6</v>
      </c>
      <c r="H6" s="98"/>
      <c r="I6" s="100" t="s">
        <v>54</v>
      </c>
      <c r="J6" s="101"/>
      <c r="K6" s="99" t="s">
        <v>55</v>
      </c>
      <c r="L6" s="102"/>
    </row>
    <row r="7" spans="1:13" ht="14.45" x14ac:dyDescent="0.3">
      <c r="A7" s="102" t="s">
        <v>17</v>
      </c>
      <c r="B7" s="103"/>
      <c r="C7" s="104">
        <v>24276.5</v>
      </c>
      <c r="D7" s="105"/>
      <c r="E7" s="104">
        <v>3105</v>
      </c>
      <c r="F7" s="105"/>
      <c r="G7" s="106">
        <f>+C7+E7</f>
        <v>27381.5</v>
      </c>
      <c r="H7" s="105"/>
      <c r="I7" s="106">
        <v>6953</v>
      </c>
      <c r="J7" s="107"/>
      <c r="K7" s="106">
        <f>G7-I7</f>
        <v>20428.5</v>
      </c>
      <c r="L7" s="102"/>
    </row>
    <row r="8" spans="1:13" ht="14.45" x14ac:dyDescent="0.3">
      <c r="A8" s="102" t="s">
        <v>18</v>
      </c>
      <c r="B8" s="103"/>
      <c r="C8" s="104">
        <v>22809</v>
      </c>
      <c r="D8" s="105"/>
      <c r="E8" s="104">
        <f>24596-22809</f>
        <v>1787</v>
      </c>
      <c r="F8" s="105"/>
      <c r="G8" s="106">
        <f>+C8+E8-1</f>
        <v>24595</v>
      </c>
      <c r="H8" s="105"/>
      <c r="I8" s="106">
        <v>0</v>
      </c>
      <c r="J8" s="107"/>
      <c r="K8" s="106">
        <f>G8-I8</f>
        <v>24595</v>
      </c>
      <c r="L8" s="102"/>
    </row>
    <row r="9" spans="1:13" ht="14.45" x14ac:dyDescent="0.3">
      <c r="A9" s="108" t="s">
        <v>24</v>
      </c>
      <c r="B9" s="103"/>
      <c r="C9" s="109">
        <f>SUM(C7:C8)</f>
        <v>47085.5</v>
      </c>
      <c r="D9" s="105"/>
      <c r="E9" s="109">
        <f>SUM(E7:E8)</f>
        <v>4892</v>
      </c>
      <c r="F9" s="105"/>
      <c r="G9" s="110">
        <f>SUM(G7:G8)</f>
        <v>51976.5</v>
      </c>
      <c r="H9" s="105"/>
      <c r="I9" s="110">
        <f>SUM(I7:I8)</f>
        <v>6953</v>
      </c>
      <c r="J9" s="107"/>
      <c r="K9" s="110">
        <f>SUM(K7:K8)</f>
        <v>45023.5</v>
      </c>
      <c r="L9" s="102"/>
    </row>
    <row r="10" spans="1:13" ht="14.45" x14ac:dyDescent="0.3">
      <c r="A10" s="102"/>
      <c r="B10" s="103"/>
      <c r="C10" s="104"/>
      <c r="D10" s="105"/>
      <c r="E10" s="104"/>
      <c r="F10" s="105"/>
      <c r="G10" s="106"/>
      <c r="H10" s="105"/>
      <c r="I10" s="106"/>
      <c r="J10" s="107"/>
      <c r="K10" s="106"/>
      <c r="L10" s="102"/>
    </row>
    <row r="11" spans="1:13" ht="14.45" x14ac:dyDescent="0.3">
      <c r="A11" s="91" t="s">
        <v>25</v>
      </c>
      <c r="B11" s="103"/>
      <c r="C11" s="104">
        <v>4400</v>
      </c>
      <c r="D11" s="105"/>
      <c r="E11" s="104">
        <v>0</v>
      </c>
      <c r="F11" s="105"/>
      <c r="G11" s="106">
        <f t="shared" ref="G11" si="0">C11+E11</f>
        <v>4400</v>
      </c>
      <c r="H11" s="105"/>
      <c r="I11" s="106">
        <v>4400</v>
      </c>
      <c r="J11" s="107"/>
      <c r="K11" s="106">
        <f t="shared" ref="K11" si="1">G11-I11</f>
        <v>0</v>
      </c>
      <c r="L11" s="102"/>
      <c r="M11" s="106"/>
    </row>
    <row r="12" spans="1:13" x14ac:dyDescent="0.25">
      <c r="A12" s="91" t="s">
        <v>189</v>
      </c>
      <c r="B12" s="103"/>
      <c r="C12" s="104"/>
      <c r="D12" s="105"/>
      <c r="E12" s="104">
        <v>3420</v>
      </c>
      <c r="F12" s="105"/>
      <c r="G12" s="106">
        <f>+C12+E12</f>
        <v>3420</v>
      </c>
      <c r="H12" s="105"/>
      <c r="I12" s="106">
        <f>1648+1650+375</f>
        <v>3673</v>
      </c>
      <c r="J12" s="107"/>
      <c r="K12" s="106">
        <f>+G12-I12</f>
        <v>-253</v>
      </c>
      <c r="L12" s="102"/>
      <c r="M12" s="106"/>
    </row>
    <row r="13" spans="1:13" x14ac:dyDescent="0.25">
      <c r="A13" s="91" t="s">
        <v>201</v>
      </c>
      <c r="B13" s="103"/>
      <c r="C13" s="104"/>
      <c r="D13" s="105"/>
      <c r="E13" s="104">
        <v>1500</v>
      </c>
      <c r="F13" s="105"/>
      <c r="G13" s="106">
        <f t="shared" ref="G13:G35" si="2">+C13+E13</f>
        <v>1500</v>
      </c>
      <c r="H13" s="105"/>
      <c r="I13" s="106">
        <v>1500</v>
      </c>
      <c r="J13" s="107"/>
      <c r="K13" s="106">
        <f t="shared" ref="K13:K35" si="3">+G13-I13</f>
        <v>0</v>
      </c>
      <c r="L13" s="102"/>
      <c r="M13" s="106"/>
    </row>
    <row r="14" spans="1:13" x14ac:dyDescent="0.25">
      <c r="A14" s="91" t="s">
        <v>202</v>
      </c>
      <c r="B14" s="103"/>
      <c r="C14" s="104"/>
      <c r="D14" s="105"/>
      <c r="E14" s="104">
        <v>3000</v>
      </c>
      <c r="F14" s="105"/>
      <c r="G14" s="106">
        <f t="shared" si="2"/>
        <v>3000</v>
      </c>
      <c r="H14" s="105"/>
      <c r="I14" s="106">
        <v>3000</v>
      </c>
      <c r="J14" s="107"/>
      <c r="K14" s="106">
        <f t="shared" si="3"/>
        <v>0</v>
      </c>
      <c r="L14" s="102"/>
      <c r="M14" s="106"/>
    </row>
    <row r="15" spans="1:13" x14ac:dyDescent="0.25">
      <c r="A15" s="91" t="s">
        <v>206</v>
      </c>
      <c r="B15" s="103"/>
      <c r="C15" s="104"/>
      <c r="D15" s="105"/>
      <c r="E15" s="104">
        <f>2278+700</f>
        <v>2978</v>
      </c>
      <c r="F15" s="105"/>
      <c r="G15" s="106">
        <f t="shared" si="2"/>
        <v>2978</v>
      </c>
      <c r="H15" s="105"/>
      <c r="I15" s="106">
        <f>2278.6+700</f>
        <v>2978.6</v>
      </c>
      <c r="J15" s="107"/>
      <c r="K15" s="106">
        <f t="shared" si="3"/>
        <v>-0.59999999999990905</v>
      </c>
      <c r="L15" s="102"/>
      <c r="M15" s="106"/>
    </row>
    <row r="16" spans="1:13" x14ac:dyDescent="0.25">
      <c r="A16" s="91" t="s">
        <v>281</v>
      </c>
      <c r="B16" s="103"/>
      <c r="C16" s="104"/>
      <c r="D16" s="105"/>
      <c r="E16" s="104">
        <v>0</v>
      </c>
      <c r="F16" s="105"/>
      <c r="G16" s="106">
        <f t="shared" si="2"/>
        <v>0</v>
      </c>
      <c r="H16" s="105"/>
      <c r="I16" s="106">
        <v>1077</v>
      </c>
      <c r="J16" s="107"/>
      <c r="K16" s="106">
        <f t="shared" si="3"/>
        <v>-1077</v>
      </c>
      <c r="L16" s="102" t="s">
        <v>282</v>
      </c>
      <c r="M16" s="106"/>
    </row>
    <row r="17" spans="1:13" x14ac:dyDescent="0.25">
      <c r="A17" t="s">
        <v>262</v>
      </c>
      <c r="B17"/>
      <c r="D17"/>
      <c r="E17" s="104">
        <v>850</v>
      </c>
      <c r="F17" s="105"/>
      <c r="G17" s="106">
        <f t="shared" si="2"/>
        <v>850</v>
      </c>
      <c r="H17" s="105"/>
      <c r="I17" s="106"/>
      <c r="J17" s="107"/>
      <c r="K17" s="106">
        <f t="shared" si="3"/>
        <v>850</v>
      </c>
      <c r="L17" s="102"/>
      <c r="M17" s="106"/>
    </row>
    <row r="18" spans="1:13" x14ac:dyDescent="0.25">
      <c r="A18" t="s">
        <v>263</v>
      </c>
      <c r="B18"/>
      <c r="D18"/>
      <c r="E18" s="104">
        <v>2400</v>
      </c>
      <c r="F18" s="105"/>
      <c r="G18" s="106">
        <f t="shared" si="2"/>
        <v>2400</v>
      </c>
      <c r="H18" s="105"/>
      <c r="I18" s="106"/>
      <c r="J18" s="107"/>
      <c r="K18" s="106">
        <f t="shared" si="3"/>
        <v>2400</v>
      </c>
      <c r="L18" s="102"/>
      <c r="M18" s="106"/>
    </row>
    <row r="19" spans="1:13" x14ac:dyDescent="0.25">
      <c r="A19" t="s">
        <v>264</v>
      </c>
      <c r="B19"/>
      <c r="D19"/>
      <c r="E19" s="104">
        <v>2400</v>
      </c>
      <c r="F19" s="105"/>
      <c r="G19" s="106">
        <f t="shared" si="2"/>
        <v>2400</v>
      </c>
      <c r="H19" s="105"/>
      <c r="I19" s="106"/>
      <c r="J19" s="107"/>
      <c r="K19" s="106">
        <f t="shared" si="3"/>
        <v>2400</v>
      </c>
      <c r="L19" s="102"/>
      <c r="M19" s="106"/>
    </row>
    <row r="20" spans="1:13" x14ac:dyDescent="0.25">
      <c r="A20" t="s">
        <v>265</v>
      </c>
      <c r="B20"/>
      <c r="D20"/>
      <c r="E20" s="104">
        <v>1200</v>
      </c>
      <c r="F20" s="105"/>
      <c r="G20" s="106">
        <f t="shared" si="2"/>
        <v>1200</v>
      </c>
      <c r="H20" s="105"/>
      <c r="I20" s="106"/>
      <c r="J20" s="107"/>
      <c r="K20" s="106">
        <f t="shared" si="3"/>
        <v>1200</v>
      </c>
      <c r="L20" s="102"/>
      <c r="M20" s="106"/>
    </row>
    <row r="21" spans="1:13" x14ac:dyDescent="0.25">
      <c r="A21" t="s">
        <v>266</v>
      </c>
      <c r="B21"/>
      <c r="D21"/>
      <c r="E21" s="104">
        <v>1200</v>
      </c>
      <c r="F21" s="105"/>
      <c r="G21" s="106">
        <f t="shared" si="2"/>
        <v>1200</v>
      </c>
      <c r="H21" s="105"/>
      <c r="I21" s="106">
        <v>10140.049999999999</v>
      </c>
      <c r="J21" s="107"/>
      <c r="K21" s="106">
        <f t="shared" si="3"/>
        <v>-8940.0499999999993</v>
      </c>
      <c r="L21" s="102"/>
      <c r="M21" s="106"/>
    </row>
    <row r="22" spans="1:13" x14ac:dyDescent="0.25">
      <c r="A22" t="s">
        <v>267</v>
      </c>
      <c r="B22"/>
      <c r="D22"/>
      <c r="E22" s="104">
        <v>2440</v>
      </c>
      <c r="F22" s="105"/>
      <c r="G22" s="106">
        <f t="shared" si="2"/>
        <v>2440</v>
      </c>
      <c r="H22" s="105"/>
      <c r="I22" s="106">
        <f>1289.7+460</f>
        <v>1749.7</v>
      </c>
      <c r="J22" s="107"/>
      <c r="K22" s="106">
        <f t="shared" si="3"/>
        <v>690.3</v>
      </c>
      <c r="L22" s="102"/>
      <c r="M22" s="106"/>
    </row>
    <row r="23" spans="1:13" x14ac:dyDescent="0.25">
      <c r="A23" t="s">
        <v>268</v>
      </c>
      <c r="B23"/>
      <c r="D23"/>
      <c r="E23" s="104">
        <v>1770</v>
      </c>
      <c r="F23" s="105"/>
      <c r="G23" s="106">
        <f t="shared" si="2"/>
        <v>1770</v>
      </c>
      <c r="H23" s="105"/>
      <c r="I23" s="106"/>
      <c r="J23" s="107"/>
      <c r="K23" s="106">
        <f t="shared" si="3"/>
        <v>1770</v>
      </c>
      <c r="L23" s="102"/>
      <c r="M23" s="106"/>
    </row>
    <row r="24" spans="1:13" x14ac:dyDescent="0.25">
      <c r="A24" t="s">
        <v>269</v>
      </c>
      <c r="B24"/>
      <c r="D24"/>
      <c r="E24" s="104">
        <v>2640</v>
      </c>
      <c r="F24" s="105"/>
      <c r="G24" s="106">
        <f t="shared" si="2"/>
        <v>2640</v>
      </c>
      <c r="H24" s="105"/>
      <c r="I24" s="106">
        <f>640+2000</f>
        <v>2640</v>
      </c>
      <c r="J24" s="107"/>
      <c r="K24" s="106">
        <f t="shared" si="3"/>
        <v>0</v>
      </c>
      <c r="L24" s="102"/>
      <c r="M24" s="106"/>
    </row>
    <row r="25" spans="1:13" x14ac:dyDescent="0.25">
      <c r="A25" t="s">
        <v>270</v>
      </c>
      <c r="B25"/>
      <c r="D25"/>
      <c r="E25" s="104">
        <v>2748</v>
      </c>
      <c r="F25" s="105"/>
      <c r="G25" s="106">
        <f t="shared" si="2"/>
        <v>2748</v>
      </c>
      <c r="H25" s="105"/>
      <c r="I25" s="106"/>
      <c r="J25" s="107"/>
      <c r="K25" s="106">
        <f t="shared" si="3"/>
        <v>2748</v>
      </c>
      <c r="L25" s="102"/>
      <c r="M25" s="106"/>
    </row>
    <row r="26" spans="1:13" x14ac:dyDescent="0.25">
      <c r="A26" t="s">
        <v>271</v>
      </c>
      <c r="B26"/>
      <c r="D26"/>
      <c r="E26" s="104">
        <v>1260</v>
      </c>
      <c r="F26" s="105"/>
      <c r="G26" s="106">
        <f t="shared" si="2"/>
        <v>1260</v>
      </c>
      <c r="H26" s="105"/>
      <c r="I26" s="106">
        <f>6743.44/9</f>
        <v>749.27111111111105</v>
      </c>
      <c r="J26" s="107"/>
      <c r="K26" s="106">
        <f t="shared" si="3"/>
        <v>510.72888888888895</v>
      </c>
      <c r="L26" s="102"/>
      <c r="M26" s="106"/>
    </row>
    <row r="27" spans="1:13" x14ac:dyDescent="0.25">
      <c r="A27" t="s">
        <v>272</v>
      </c>
      <c r="B27"/>
      <c r="D27"/>
      <c r="E27" s="104">
        <v>1440</v>
      </c>
      <c r="F27" s="105"/>
      <c r="G27" s="106">
        <f t="shared" si="2"/>
        <v>1440</v>
      </c>
      <c r="H27" s="105"/>
      <c r="I27" s="106">
        <f t="shared" ref="I27:I34" si="4">6743.44/9</f>
        <v>749.27111111111105</v>
      </c>
      <c r="J27" s="107"/>
      <c r="K27" s="106">
        <f t="shared" si="3"/>
        <v>690.72888888888895</v>
      </c>
      <c r="L27" s="102"/>
      <c r="M27" s="106"/>
    </row>
    <row r="28" spans="1:13" x14ac:dyDescent="0.25">
      <c r="A28" t="s">
        <v>273</v>
      </c>
      <c r="B28"/>
      <c r="D28"/>
      <c r="E28" s="104">
        <v>1440</v>
      </c>
      <c r="F28" s="105"/>
      <c r="G28" s="106">
        <f t="shared" si="2"/>
        <v>1440</v>
      </c>
      <c r="H28" s="105"/>
      <c r="I28" s="106">
        <f t="shared" si="4"/>
        <v>749.27111111111105</v>
      </c>
      <c r="J28" s="107"/>
      <c r="K28" s="106">
        <f t="shared" si="3"/>
        <v>690.72888888888895</v>
      </c>
      <c r="L28" s="102"/>
      <c r="M28" s="106"/>
    </row>
    <row r="29" spans="1:13" x14ac:dyDescent="0.25">
      <c r="A29" t="s">
        <v>274</v>
      </c>
      <c r="B29"/>
      <c r="D29"/>
      <c r="E29" s="104">
        <v>1440</v>
      </c>
      <c r="F29" s="105"/>
      <c r="G29" s="106">
        <f t="shared" si="2"/>
        <v>1440</v>
      </c>
      <c r="H29" s="105"/>
      <c r="I29" s="106">
        <f t="shared" si="4"/>
        <v>749.27111111111105</v>
      </c>
      <c r="J29" s="107"/>
      <c r="K29" s="106">
        <f t="shared" si="3"/>
        <v>690.72888888888895</v>
      </c>
      <c r="L29" s="102"/>
      <c r="M29" s="106"/>
    </row>
    <row r="30" spans="1:13" x14ac:dyDescent="0.25">
      <c r="A30" t="s">
        <v>275</v>
      </c>
      <c r="B30"/>
      <c r="D30"/>
      <c r="E30" s="104">
        <v>1440</v>
      </c>
      <c r="F30" s="105"/>
      <c r="G30" s="106">
        <f t="shared" si="2"/>
        <v>1440</v>
      </c>
      <c r="H30" s="105"/>
      <c r="I30" s="106">
        <f t="shared" si="4"/>
        <v>749.27111111111105</v>
      </c>
      <c r="J30" s="107"/>
      <c r="K30" s="106">
        <f t="shared" si="3"/>
        <v>690.72888888888895</v>
      </c>
      <c r="L30" s="102"/>
      <c r="M30" s="106"/>
    </row>
    <row r="31" spans="1:13" x14ac:dyDescent="0.25">
      <c r="A31" t="s">
        <v>276</v>
      </c>
      <c r="B31"/>
      <c r="D31"/>
      <c r="E31" s="104">
        <v>1440</v>
      </c>
      <c r="F31" s="105"/>
      <c r="G31" s="106">
        <f t="shared" si="2"/>
        <v>1440</v>
      </c>
      <c r="H31" s="105"/>
      <c r="I31" s="106">
        <f t="shared" si="4"/>
        <v>749.27111111111105</v>
      </c>
      <c r="J31" s="107"/>
      <c r="K31" s="106">
        <f t="shared" si="3"/>
        <v>690.72888888888895</v>
      </c>
      <c r="L31" s="102"/>
      <c r="M31" s="106"/>
    </row>
    <row r="32" spans="1:13" x14ac:dyDescent="0.25">
      <c r="A32" t="s">
        <v>277</v>
      </c>
      <c r="B32"/>
      <c r="D32"/>
      <c r="E32" s="104">
        <v>1440</v>
      </c>
      <c r="F32" s="105"/>
      <c r="G32" s="106">
        <f t="shared" si="2"/>
        <v>1440</v>
      </c>
      <c r="H32" s="105"/>
      <c r="I32" s="106">
        <f t="shared" si="4"/>
        <v>749.27111111111105</v>
      </c>
      <c r="J32" s="107"/>
      <c r="K32" s="106">
        <f t="shared" si="3"/>
        <v>690.72888888888895</v>
      </c>
      <c r="L32" s="102"/>
      <c r="M32" s="106"/>
    </row>
    <row r="33" spans="1:13" x14ac:dyDescent="0.25">
      <c r="A33" t="s">
        <v>278</v>
      </c>
      <c r="B33"/>
      <c r="D33"/>
      <c r="E33" s="104">
        <v>1440</v>
      </c>
      <c r="F33" s="105"/>
      <c r="G33" s="106">
        <f t="shared" si="2"/>
        <v>1440</v>
      </c>
      <c r="H33" s="105"/>
      <c r="I33" s="106">
        <f t="shared" si="4"/>
        <v>749.27111111111105</v>
      </c>
      <c r="J33" s="107"/>
      <c r="K33" s="106">
        <f t="shared" si="3"/>
        <v>690.72888888888895</v>
      </c>
      <c r="L33" s="102"/>
      <c r="M33" s="106"/>
    </row>
    <row r="34" spans="1:13" x14ac:dyDescent="0.25">
      <c r="A34" t="s">
        <v>279</v>
      </c>
      <c r="B34"/>
      <c r="D34"/>
      <c r="E34" s="104">
        <v>1440</v>
      </c>
      <c r="F34" s="105"/>
      <c r="G34" s="106">
        <f t="shared" si="2"/>
        <v>1440</v>
      </c>
      <c r="H34" s="105"/>
      <c r="I34" s="106">
        <f t="shared" si="4"/>
        <v>749.27111111111105</v>
      </c>
      <c r="J34" s="107"/>
      <c r="K34" s="106">
        <f t="shared" si="3"/>
        <v>690.72888888888895</v>
      </c>
      <c r="L34" s="102"/>
      <c r="M34" s="106"/>
    </row>
    <row r="35" spans="1:13" x14ac:dyDescent="0.25">
      <c r="A35" s="91" t="s">
        <v>280</v>
      </c>
      <c r="B35" s="103"/>
      <c r="C35" s="104"/>
      <c r="D35" s="105"/>
      <c r="E35" s="104">
        <v>6251</v>
      </c>
      <c r="F35" s="105"/>
      <c r="G35" s="106">
        <f t="shared" si="2"/>
        <v>6251</v>
      </c>
      <c r="H35" s="105"/>
      <c r="I35" s="106">
        <v>1923.93</v>
      </c>
      <c r="J35" s="107"/>
      <c r="K35" s="106">
        <f t="shared" si="3"/>
        <v>4327.07</v>
      </c>
      <c r="L35" s="102"/>
      <c r="M35" s="106"/>
    </row>
    <row r="36" spans="1:13" x14ac:dyDescent="0.25">
      <c r="A36" s="94" t="s">
        <v>45</v>
      </c>
      <c r="B36" s="103"/>
      <c r="C36" s="109">
        <f>SUM(C11:C11)</f>
        <v>4400</v>
      </c>
      <c r="D36" s="105"/>
      <c r="E36" s="109">
        <f>SUM(E11:E35)</f>
        <v>47577</v>
      </c>
      <c r="F36" s="105"/>
      <c r="G36" s="109">
        <f>SUM(G11:G35)</f>
        <v>51977</v>
      </c>
      <c r="H36" s="105"/>
      <c r="I36" s="109">
        <f>SUM(I11:I35)</f>
        <v>39825.720000000008</v>
      </c>
      <c r="J36" s="105"/>
      <c r="K36" s="109">
        <f>SUM(K11:K35)</f>
        <v>12151.279999999999</v>
      </c>
      <c r="L36" s="102"/>
    </row>
    <row r="37" spans="1:13" x14ac:dyDescent="0.25">
      <c r="A37" s="94" t="s">
        <v>46</v>
      </c>
      <c r="B37" s="103"/>
      <c r="C37" s="109">
        <f>C9-C36</f>
        <v>42685.5</v>
      </c>
      <c r="D37" s="105"/>
      <c r="E37" s="105"/>
      <c r="F37" s="105"/>
      <c r="G37" s="109">
        <f>G9-G36</f>
        <v>-0.5</v>
      </c>
      <c r="H37" s="105"/>
      <c r="I37" s="105"/>
      <c r="J37" s="105"/>
      <c r="K37" s="105"/>
      <c r="L37" s="102"/>
    </row>
    <row r="38" spans="1:13" x14ac:dyDescent="0.25">
      <c r="A38" s="102"/>
      <c r="B38" s="103"/>
      <c r="C38" s="102"/>
      <c r="D38" s="103"/>
      <c r="E38" s="102"/>
      <c r="F38" s="103"/>
      <c r="G38" s="116"/>
      <c r="H38" s="103"/>
      <c r="I38" s="117"/>
      <c r="J38" s="115"/>
      <c r="K38" s="116"/>
      <c r="L38" s="102"/>
    </row>
    <row r="39" spans="1:13" x14ac:dyDescent="0.25">
      <c r="I39" s="24"/>
    </row>
  </sheetData>
  <mergeCells count="4">
    <mergeCell ref="A1:K1"/>
    <mergeCell ref="A2:K2"/>
    <mergeCell ref="A3:K3"/>
    <mergeCell ref="A4:K4"/>
  </mergeCells>
  <printOptions horizontalCentered="1"/>
  <pageMargins left="0.25" right="0.25" top="0.25" bottom="0.3" header="0.3" footer="0"/>
  <pageSetup scale="99" orientation="landscape" r:id="rId1"/>
  <headerFooter scaleWithDoc="0">
    <firstFooter>&amp;R
&amp;P&amp;N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3"/>
  <sheetViews>
    <sheetView workbookViewId="0">
      <selection activeCell="I19" sqref="I19"/>
    </sheetView>
  </sheetViews>
  <sheetFormatPr defaultRowHeight="15" x14ac:dyDescent="0.25"/>
  <cols>
    <col min="1" max="1" width="32.5703125" bestFit="1" customWidth="1"/>
    <col min="2" max="2" width="1.7109375" style="1" customWidth="1"/>
    <col min="3" max="3" width="10.5703125" bestFit="1" customWidth="1"/>
    <col min="4" max="4" width="1.7109375" style="1" customWidth="1"/>
    <col min="5" max="5" width="11.5703125" customWidth="1"/>
    <col min="6" max="6" width="1.7109375" style="1" customWidth="1"/>
    <col min="7" max="7" width="11.7109375" style="4" bestFit="1" customWidth="1"/>
    <col min="8" max="8" width="1.7109375" style="1" customWidth="1"/>
    <col min="9" max="9" width="14" style="4" customWidth="1"/>
    <col min="10" max="10" width="1.7109375" style="16" customWidth="1"/>
    <col min="11" max="11" width="10.140625" style="4" customWidth="1"/>
  </cols>
  <sheetData>
    <row r="1" spans="1:12" ht="14.45" x14ac:dyDescent="0.3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ht="14.45" x14ac:dyDescent="0.3">
      <c r="A2" s="182" t="s">
        <v>77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2" ht="14.45" x14ac:dyDescent="0.3">
      <c r="A3" s="182" t="s">
        <v>53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2" ht="13.15" customHeight="1" x14ac:dyDescent="0.3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2" ht="14.45" x14ac:dyDescent="0.3">
      <c r="A5" s="2"/>
      <c r="B5" s="2"/>
      <c r="C5" s="2"/>
      <c r="D5" s="78"/>
      <c r="E5" s="2"/>
      <c r="F5" s="78"/>
      <c r="G5" s="6"/>
      <c r="H5" s="78"/>
      <c r="I5" s="6"/>
      <c r="J5" s="79"/>
      <c r="K5" s="6"/>
    </row>
    <row r="6" spans="1:12" ht="67.150000000000006" thickBot="1" x14ac:dyDescent="0.35">
      <c r="A6" s="95" t="s">
        <v>3</v>
      </c>
      <c r="B6" s="96"/>
      <c r="C6" s="97" t="s">
        <v>4</v>
      </c>
      <c r="D6" s="98"/>
      <c r="E6" s="97" t="s">
        <v>5</v>
      </c>
      <c r="F6" s="98"/>
      <c r="G6" s="99" t="s">
        <v>6</v>
      </c>
      <c r="H6" s="98"/>
      <c r="I6" s="100" t="s">
        <v>54</v>
      </c>
      <c r="J6" s="101"/>
      <c r="K6" s="99" t="s">
        <v>55</v>
      </c>
      <c r="L6" s="102"/>
    </row>
    <row r="7" spans="1:12" ht="14.45" x14ac:dyDescent="0.3">
      <c r="A7" s="102" t="s">
        <v>17</v>
      </c>
      <c r="B7" s="103"/>
      <c r="C7" s="104">
        <v>19613</v>
      </c>
      <c r="D7" s="105"/>
      <c r="E7" s="104">
        <v>2536</v>
      </c>
      <c r="F7" s="105"/>
      <c r="G7" s="106">
        <f>+C7+E7</f>
        <v>22149</v>
      </c>
      <c r="H7" s="105"/>
      <c r="I7" s="106">
        <v>5563</v>
      </c>
      <c r="J7" s="107"/>
      <c r="K7" s="106">
        <f>G7-I7</f>
        <v>16586</v>
      </c>
      <c r="L7" s="102"/>
    </row>
    <row r="8" spans="1:12" ht="14.45" x14ac:dyDescent="0.3">
      <c r="A8" s="102" t="s">
        <v>18</v>
      </c>
      <c r="B8" s="103"/>
      <c r="C8" s="104">
        <v>18630</v>
      </c>
      <c r="D8" s="105"/>
      <c r="E8" s="104">
        <f>20034-18630</f>
        <v>1404</v>
      </c>
      <c r="F8" s="105"/>
      <c r="G8" s="106">
        <f>+C8+E8</f>
        <v>20034</v>
      </c>
      <c r="H8" s="105"/>
      <c r="I8" s="106">
        <v>0</v>
      </c>
      <c r="J8" s="107"/>
      <c r="K8" s="106">
        <f>G8-I8</f>
        <v>20034</v>
      </c>
      <c r="L8" s="102"/>
    </row>
    <row r="9" spans="1:12" ht="14.45" x14ac:dyDescent="0.3">
      <c r="A9" s="102" t="s">
        <v>78</v>
      </c>
      <c r="B9" s="103"/>
      <c r="C9" s="104">
        <v>1600</v>
      </c>
      <c r="D9" s="105"/>
      <c r="E9" s="104">
        <v>0</v>
      </c>
      <c r="F9" s="105"/>
      <c r="G9" s="106">
        <f>C9+E9</f>
        <v>1600</v>
      </c>
      <c r="H9" s="105"/>
      <c r="I9" s="106">
        <v>1283</v>
      </c>
      <c r="J9" s="107"/>
      <c r="K9" s="106">
        <f>G9-I9</f>
        <v>317</v>
      </c>
      <c r="L9" s="102"/>
    </row>
    <row r="10" spans="1:12" ht="14.45" x14ac:dyDescent="0.3">
      <c r="A10" s="108" t="s">
        <v>24</v>
      </c>
      <c r="B10" s="103"/>
      <c r="C10" s="109">
        <f>SUM(C7:C9)</f>
        <v>39843</v>
      </c>
      <c r="D10" s="105"/>
      <c r="E10" s="109">
        <f>SUM(E7:E8)</f>
        <v>3940</v>
      </c>
      <c r="F10" s="105"/>
      <c r="G10" s="110">
        <f>SUM(G7:G9)</f>
        <v>43783</v>
      </c>
      <c r="H10" s="105"/>
      <c r="I10" s="110">
        <f>SUM(I7:I9)</f>
        <v>6846</v>
      </c>
      <c r="J10" s="107"/>
      <c r="K10" s="110">
        <f>SUM(K7:K9)</f>
        <v>36937</v>
      </c>
      <c r="L10" s="102"/>
    </row>
    <row r="11" spans="1:12" ht="14.45" x14ac:dyDescent="0.3">
      <c r="A11" s="102"/>
      <c r="B11" s="103"/>
      <c r="C11" s="104"/>
      <c r="D11" s="105"/>
      <c r="E11" s="104"/>
      <c r="F11" s="105"/>
      <c r="G11" s="106"/>
      <c r="H11" s="105"/>
      <c r="I11" s="106"/>
      <c r="J11" s="107"/>
      <c r="K11" s="106"/>
      <c r="L11" s="102"/>
    </row>
    <row r="12" spans="1:12" x14ac:dyDescent="0.25">
      <c r="A12" s="91" t="s">
        <v>25</v>
      </c>
      <c r="B12" s="103"/>
      <c r="C12" s="104">
        <v>3600</v>
      </c>
      <c r="D12" s="105"/>
      <c r="E12" s="104">
        <v>0</v>
      </c>
      <c r="F12" s="105"/>
      <c r="G12" s="106">
        <f t="shared" ref="G12:G19" si="0">+C12+E12</f>
        <v>3600</v>
      </c>
      <c r="H12" s="105"/>
      <c r="I12" s="106">
        <v>3600</v>
      </c>
      <c r="J12" s="107"/>
      <c r="K12" s="106">
        <f t="shared" ref="K12:K19" si="1">G12-I12</f>
        <v>0</v>
      </c>
      <c r="L12" s="102"/>
    </row>
    <row r="13" spans="1:12" x14ac:dyDescent="0.25">
      <c r="A13" s="91" t="s">
        <v>74</v>
      </c>
      <c r="B13" s="103"/>
      <c r="C13" s="104">
        <v>0</v>
      </c>
      <c r="D13" s="105"/>
      <c r="E13" s="104">
        <v>28000</v>
      </c>
      <c r="F13" s="105"/>
      <c r="G13" s="106">
        <f>+C13+E13</f>
        <v>28000</v>
      </c>
      <c r="H13" s="105"/>
      <c r="I13" s="106">
        <v>14831.25</v>
      </c>
      <c r="J13" s="107"/>
      <c r="K13" s="106">
        <f t="shared" si="1"/>
        <v>13168.75</v>
      </c>
      <c r="L13" s="102"/>
    </row>
    <row r="14" spans="1:12" x14ac:dyDescent="0.25">
      <c r="A14" s="91" t="s">
        <v>79</v>
      </c>
      <c r="B14" s="103"/>
      <c r="C14" s="104">
        <v>0</v>
      </c>
      <c r="D14" s="105"/>
      <c r="E14" s="104">
        <v>800</v>
      </c>
      <c r="F14" s="105"/>
      <c r="G14" s="106">
        <f>+C14+E14</f>
        <v>800</v>
      </c>
      <c r="H14" s="105"/>
      <c r="I14" s="106">
        <v>500</v>
      </c>
      <c r="J14" s="107"/>
      <c r="K14" s="106">
        <f t="shared" si="1"/>
        <v>300</v>
      </c>
      <c r="L14" s="102"/>
    </row>
    <row r="15" spans="1:12" x14ac:dyDescent="0.25">
      <c r="A15" s="91" t="s">
        <v>80</v>
      </c>
      <c r="B15" s="103"/>
      <c r="C15" s="104">
        <v>0</v>
      </c>
      <c r="D15" s="105"/>
      <c r="E15" s="104">
        <v>4000</v>
      </c>
      <c r="F15" s="105"/>
      <c r="G15" s="106">
        <f>+C15+E15</f>
        <v>4000</v>
      </c>
      <c r="H15" s="105"/>
      <c r="I15" s="106">
        <v>0</v>
      </c>
      <c r="J15" s="107"/>
      <c r="K15" s="106">
        <f t="shared" si="1"/>
        <v>4000</v>
      </c>
      <c r="L15" s="102"/>
    </row>
    <row r="16" spans="1:12" x14ac:dyDescent="0.25">
      <c r="A16" s="91" t="s">
        <v>81</v>
      </c>
      <c r="B16" s="103"/>
      <c r="C16" s="104">
        <v>0</v>
      </c>
      <c r="D16" s="105"/>
      <c r="E16" s="104">
        <v>1500</v>
      </c>
      <c r="F16" s="105"/>
      <c r="G16" s="106">
        <f t="shared" si="0"/>
        <v>1500</v>
      </c>
      <c r="H16" s="105"/>
      <c r="I16" s="106">
        <v>0</v>
      </c>
      <c r="J16" s="107"/>
      <c r="K16" s="106">
        <f t="shared" si="1"/>
        <v>1500</v>
      </c>
      <c r="L16" s="102"/>
    </row>
    <row r="17" spans="1:12" x14ac:dyDescent="0.25">
      <c r="A17" s="91" t="s">
        <v>82</v>
      </c>
      <c r="B17" s="103"/>
      <c r="C17" s="104">
        <v>0</v>
      </c>
      <c r="D17" s="105"/>
      <c r="E17" s="104">
        <v>1000</v>
      </c>
      <c r="F17" s="105"/>
      <c r="G17" s="106">
        <f t="shared" si="0"/>
        <v>1000</v>
      </c>
      <c r="H17" s="105"/>
      <c r="I17" s="106">
        <v>198.86</v>
      </c>
      <c r="J17" s="107"/>
      <c r="K17" s="106">
        <f t="shared" si="1"/>
        <v>801.14</v>
      </c>
      <c r="L17" s="102"/>
    </row>
    <row r="18" spans="1:12" x14ac:dyDescent="0.25">
      <c r="A18" s="91" t="s">
        <v>83</v>
      </c>
      <c r="B18" s="103"/>
      <c r="C18" s="104">
        <v>0</v>
      </c>
      <c r="D18" s="105"/>
      <c r="E18" s="104">
        <v>440</v>
      </c>
      <c r="F18" s="105"/>
      <c r="G18" s="106">
        <f t="shared" si="0"/>
        <v>440</v>
      </c>
      <c r="H18" s="105"/>
      <c r="I18" s="106">
        <v>0</v>
      </c>
      <c r="J18" s="107"/>
      <c r="K18" s="106">
        <f t="shared" si="1"/>
        <v>440</v>
      </c>
      <c r="L18" s="102"/>
    </row>
    <row r="19" spans="1:12" x14ac:dyDescent="0.25">
      <c r="A19" s="91" t="s">
        <v>84</v>
      </c>
      <c r="B19" s="103"/>
      <c r="C19" s="104">
        <v>0</v>
      </c>
      <c r="D19" s="105"/>
      <c r="E19" s="104">
        <v>500</v>
      </c>
      <c r="F19" s="105"/>
      <c r="G19" s="106">
        <f t="shared" si="0"/>
        <v>500</v>
      </c>
      <c r="H19" s="105"/>
      <c r="I19" s="106">
        <f>192.19+1036.87</f>
        <v>1229.06</v>
      </c>
      <c r="J19" s="107"/>
      <c r="K19" s="106">
        <f t="shared" si="1"/>
        <v>-729.06</v>
      </c>
      <c r="L19" s="102"/>
    </row>
    <row r="20" spans="1:12" x14ac:dyDescent="0.25">
      <c r="A20" s="94" t="s">
        <v>45</v>
      </c>
      <c r="B20" s="103"/>
      <c r="C20" s="109">
        <f>SUM(C12:C12)</f>
        <v>3600</v>
      </c>
      <c r="D20" s="105"/>
      <c r="E20" s="109">
        <f>SUM(E12:E19)</f>
        <v>36240</v>
      </c>
      <c r="F20" s="105"/>
      <c r="G20" s="109">
        <f>SUM(G12:G19)</f>
        <v>39840</v>
      </c>
      <c r="H20" s="105"/>
      <c r="I20" s="109">
        <f>SUM(I12:I19)</f>
        <v>20359.170000000002</v>
      </c>
      <c r="J20" s="105"/>
      <c r="K20" s="109">
        <f>SUM(K12:K19)</f>
        <v>19480.829999999998</v>
      </c>
      <c r="L20" s="102"/>
    </row>
    <row r="21" spans="1:12" x14ac:dyDescent="0.25">
      <c r="A21" s="94" t="s">
        <v>46</v>
      </c>
      <c r="B21" s="103"/>
      <c r="C21" s="109">
        <f>C10-C20</f>
        <v>36243</v>
      </c>
      <c r="D21" s="105"/>
      <c r="E21" s="105"/>
      <c r="F21" s="105"/>
      <c r="G21" s="109">
        <f>G10-G20</f>
        <v>3943</v>
      </c>
      <c r="H21" s="105"/>
      <c r="I21" s="105"/>
      <c r="J21" s="105"/>
      <c r="K21" s="105"/>
      <c r="L21" s="102"/>
    </row>
    <row r="22" spans="1:12" x14ac:dyDescent="0.25">
      <c r="A22" s="102"/>
      <c r="B22" s="103"/>
      <c r="C22" s="102"/>
      <c r="D22" s="103"/>
      <c r="E22" s="102"/>
      <c r="F22" s="103"/>
      <c r="G22" s="116"/>
      <c r="H22" s="103"/>
      <c r="I22" s="117"/>
      <c r="J22" s="115"/>
      <c r="K22" s="115"/>
      <c r="L22" s="102"/>
    </row>
    <row r="23" spans="1:12" x14ac:dyDescent="0.25">
      <c r="G23" s="24"/>
    </row>
  </sheetData>
  <mergeCells count="4">
    <mergeCell ref="A1:K1"/>
    <mergeCell ref="A2:K2"/>
    <mergeCell ref="A3:K3"/>
    <mergeCell ref="A4:K4"/>
  </mergeCells>
  <printOptions horizontalCentered="1"/>
  <pageMargins left="0.25" right="0.25" top="0.25" bottom="0.3" header="0.3" footer="0"/>
  <pageSetup orientation="landscape" r:id="rId1"/>
  <headerFooter scaleWithDoc="0">
    <firstFooter>&amp;R
&amp;P&amp;N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0"/>
  <sheetViews>
    <sheetView workbookViewId="0">
      <selection activeCell="I22" sqref="I22"/>
    </sheetView>
  </sheetViews>
  <sheetFormatPr defaultRowHeight="15" x14ac:dyDescent="0.25"/>
  <cols>
    <col min="1" max="1" width="32.5703125" bestFit="1" customWidth="1"/>
    <col min="2" max="2" width="1.7109375" style="1" customWidth="1"/>
    <col min="3" max="3" width="10.5703125" bestFit="1" customWidth="1"/>
    <col min="4" max="4" width="1.7109375" style="1" customWidth="1"/>
    <col min="5" max="5" width="11.5703125" customWidth="1"/>
    <col min="6" max="6" width="1.7109375" style="1" customWidth="1"/>
    <col min="7" max="7" width="11.7109375" style="4" bestFit="1" customWidth="1"/>
    <col min="8" max="8" width="1.7109375" style="1" customWidth="1"/>
    <col min="9" max="9" width="14" style="4" customWidth="1"/>
    <col min="10" max="10" width="1.7109375" style="16" customWidth="1"/>
    <col min="11" max="11" width="10.140625" style="4" customWidth="1"/>
  </cols>
  <sheetData>
    <row r="1" spans="1:11" ht="14.45" x14ac:dyDescent="0.3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45" x14ac:dyDescent="0.3">
      <c r="A2" s="182" t="s">
        <v>12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14.45" x14ac:dyDescent="0.3">
      <c r="A3" s="182" t="s">
        <v>76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15" customHeight="1" x14ac:dyDescent="0.3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ht="14.45" x14ac:dyDescent="0.3">
      <c r="A5" s="2"/>
      <c r="B5" s="2"/>
      <c r="C5" s="2"/>
      <c r="D5" s="78"/>
      <c r="E5" s="2"/>
      <c r="F5" s="78"/>
      <c r="G5" s="6"/>
      <c r="H5" s="78"/>
      <c r="I5" s="6"/>
      <c r="J5" s="79"/>
      <c r="K5" s="6"/>
    </row>
    <row r="6" spans="1:11" ht="67.150000000000006" thickBot="1" x14ac:dyDescent="0.35">
      <c r="A6" s="95" t="s">
        <v>3</v>
      </c>
      <c r="B6" s="96"/>
      <c r="C6" s="97" t="s">
        <v>4</v>
      </c>
      <c r="D6" s="98"/>
      <c r="E6" s="97" t="s">
        <v>5</v>
      </c>
      <c r="F6" s="98"/>
      <c r="G6" s="99" t="s">
        <v>6</v>
      </c>
      <c r="H6" s="98"/>
      <c r="I6" s="100" t="s">
        <v>54</v>
      </c>
      <c r="J6" s="101"/>
      <c r="K6" s="99" t="s">
        <v>55</v>
      </c>
    </row>
    <row r="7" spans="1:11" ht="14.45" x14ac:dyDescent="0.3">
      <c r="A7" s="102" t="s">
        <v>17</v>
      </c>
      <c r="B7" s="103"/>
      <c r="C7" s="104">
        <v>26150</v>
      </c>
      <c r="D7" s="105"/>
      <c r="E7" s="104">
        <v>3382</v>
      </c>
      <c r="F7" s="105"/>
      <c r="G7" s="106">
        <f>C7+E7</f>
        <v>29532</v>
      </c>
      <c r="H7" s="105"/>
      <c r="I7" s="106">
        <v>8344</v>
      </c>
      <c r="J7" s="107"/>
      <c r="K7" s="106">
        <f>G7-I7</f>
        <v>21188</v>
      </c>
    </row>
    <row r="8" spans="1:11" ht="14.45" x14ac:dyDescent="0.3">
      <c r="A8" s="102" t="s">
        <v>18</v>
      </c>
      <c r="B8" s="103"/>
      <c r="C8" s="104">
        <v>24840</v>
      </c>
      <c r="D8" s="105"/>
      <c r="E8" s="104">
        <f>26712-24840</f>
        <v>1872</v>
      </c>
      <c r="F8" s="105"/>
      <c r="G8" s="106">
        <f>C8+E8</f>
        <v>26712</v>
      </c>
      <c r="H8" s="105"/>
      <c r="I8" s="106">
        <v>0</v>
      </c>
      <c r="J8" s="107"/>
      <c r="K8" s="106">
        <f>G8-I8</f>
        <v>26712</v>
      </c>
    </row>
    <row r="9" spans="1:11" ht="14.45" hidden="1" x14ac:dyDescent="0.3">
      <c r="A9" s="102" t="s">
        <v>22</v>
      </c>
      <c r="B9" s="103"/>
      <c r="C9" s="104">
        <v>0</v>
      </c>
      <c r="D9" s="105"/>
      <c r="E9" s="104">
        <v>0</v>
      </c>
      <c r="F9" s="105"/>
      <c r="G9" s="106">
        <f>+C9+E9</f>
        <v>0</v>
      </c>
      <c r="H9" s="105"/>
      <c r="I9" s="106"/>
      <c r="J9" s="107"/>
      <c r="K9" s="106">
        <f>+G9+I9</f>
        <v>0</v>
      </c>
    </row>
    <row r="10" spans="1:11" ht="14.45" x14ac:dyDescent="0.3">
      <c r="A10" s="108" t="s">
        <v>24</v>
      </c>
      <c r="B10" s="103"/>
      <c r="C10" s="109">
        <f>SUM(C7:C9)</f>
        <v>50990</v>
      </c>
      <c r="D10" s="105"/>
      <c r="E10" s="109">
        <f>SUM(E7:E9)</f>
        <v>5254</v>
      </c>
      <c r="F10" s="105"/>
      <c r="G10" s="110">
        <f>SUM(G7:G9)</f>
        <v>56244</v>
      </c>
      <c r="H10" s="105"/>
      <c r="I10" s="110">
        <f>SUM(I7:I9)</f>
        <v>8344</v>
      </c>
      <c r="J10" s="107"/>
      <c r="K10" s="110">
        <f>SUM(K7:K9)</f>
        <v>47900</v>
      </c>
    </row>
    <row r="11" spans="1:11" ht="14.45" x14ac:dyDescent="0.3">
      <c r="A11" s="102"/>
      <c r="B11" s="103"/>
      <c r="C11" s="104"/>
      <c r="D11" s="105"/>
      <c r="E11" s="104"/>
      <c r="F11" s="105"/>
      <c r="G11" s="106"/>
      <c r="H11" s="105"/>
      <c r="I11" s="106"/>
      <c r="J11" s="107"/>
      <c r="K11" s="106"/>
    </row>
    <row r="12" spans="1:11" ht="14.45" x14ac:dyDescent="0.3">
      <c r="A12" s="91" t="s">
        <v>25</v>
      </c>
      <c r="B12" s="103"/>
      <c r="C12" s="104">
        <v>4800</v>
      </c>
      <c r="D12" s="105"/>
      <c r="E12" s="104">
        <v>0</v>
      </c>
      <c r="F12" s="105"/>
      <c r="G12" s="106">
        <f>C12-E12</f>
        <v>4800</v>
      </c>
      <c r="H12" s="105"/>
      <c r="I12" s="106">
        <v>4800</v>
      </c>
      <c r="J12" s="107"/>
      <c r="K12" s="106">
        <f t="shared" ref="K12:K18" si="0">G12-I12</f>
        <v>0</v>
      </c>
    </row>
    <row r="13" spans="1:11" x14ac:dyDescent="0.25">
      <c r="A13" s="91" t="s">
        <v>74</v>
      </c>
      <c r="B13" s="103"/>
      <c r="C13" s="104">
        <v>0</v>
      </c>
      <c r="D13" s="105"/>
      <c r="E13" s="104">
        <v>40238</v>
      </c>
      <c r="F13" s="105"/>
      <c r="G13" s="106">
        <f>+C13+E13</f>
        <v>40238</v>
      </c>
      <c r="H13" s="105"/>
      <c r="I13" s="106">
        <v>37495.949999999997</v>
      </c>
      <c r="J13" s="107"/>
      <c r="K13" s="106">
        <f t="shared" si="0"/>
        <v>2742.0500000000029</v>
      </c>
    </row>
    <row r="14" spans="1:11" x14ac:dyDescent="0.25">
      <c r="A14" s="91" t="s">
        <v>85</v>
      </c>
      <c r="B14" s="103"/>
      <c r="C14" s="104">
        <v>0</v>
      </c>
      <c r="D14" s="105"/>
      <c r="E14" s="104">
        <f>725+4507.81+337.44</f>
        <v>5570.25</v>
      </c>
      <c r="F14" s="105"/>
      <c r="G14" s="106">
        <f>+C14+E14</f>
        <v>5570.25</v>
      </c>
      <c r="H14" s="105"/>
      <c r="I14" s="106">
        <f>1200</f>
        <v>1200</v>
      </c>
      <c r="J14" s="107"/>
      <c r="K14" s="106">
        <f t="shared" si="0"/>
        <v>4370.25</v>
      </c>
    </row>
    <row r="15" spans="1:11" hidden="1" x14ac:dyDescent="0.25">
      <c r="A15" s="91" t="s">
        <v>86</v>
      </c>
      <c r="B15" s="103"/>
      <c r="C15" s="104">
        <v>0</v>
      </c>
      <c r="D15" s="105"/>
      <c r="E15" s="104">
        <v>0</v>
      </c>
      <c r="F15" s="105"/>
      <c r="G15" s="106">
        <f t="shared" ref="G15:G22" si="1">+C15+E15</f>
        <v>0</v>
      </c>
      <c r="H15" s="105"/>
      <c r="I15" s="106">
        <v>0</v>
      </c>
      <c r="J15" s="107"/>
      <c r="K15" s="106">
        <f t="shared" si="0"/>
        <v>0</v>
      </c>
    </row>
    <row r="16" spans="1:11" hidden="1" x14ac:dyDescent="0.25">
      <c r="A16" s="91" t="s">
        <v>70</v>
      </c>
      <c r="B16" s="103"/>
      <c r="C16" s="104">
        <v>0</v>
      </c>
      <c r="D16" s="105"/>
      <c r="E16" s="104">
        <v>0</v>
      </c>
      <c r="F16" s="105"/>
      <c r="G16" s="106">
        <f t="shared" si="1"/>
        <v>0</v>
      </c>
      <c r="H16" s="105"/>
      <c r="I16" s="106">
        <v>0</v>
      </c>
      <c r="J16" s="107"/>
      <c r="K16" s="106">
        <f t="shared" si="0"/>
        <v>0</v>
      </c>
    </row>
    <row r="17" spans="1:11" hidden="1" x14ac:dyDescent="0.25">
      <c r="A17" s="91" t="s">
        <v>87</v>
      </c>
      <c r="B17" s="103"/>
      <c r="C17" s="104"/>
      <c r="D17" s="105"/>
      <c r="E17" s="104">
        <v>0</v>
      </c>
      <c r="F17" s="105"/>
      <c r="G17" s="106">
        <f t="shared" si="1"/>
        <v>0</v>
      </c>
      <c r="H17" s="105"/>
      <c r="I17" s="106">
        <v>0</v>
      </c>
      <c r="J17" s="107"/>
      <c r="K17" s="106">
        <f t="shared" si="0"/>
        <v>0</v>
      </c>
    </row>
    <row r="18" spans="1:11" hidden="1" x14ac:dyDescent="0.25">
      <c r="A18" s="91" t="s">
        <v>88</v>
      </c>
      <c r="B18" s="103"/>
      <c r="C18" s="104">
        <v>0</v>
      </c>
      <c r="D18" s="105"/>
      <c r="E18" s="104">
        <v>0</v>
      </c>
      <c r="F18" s="105"/>
      <c r="G18" s="106">
        <f>+C18+E18</f>
        <v>0</v>
      </c>
      <c r="H18" s="105"/>
      <c r="I18" s="106">
        <v>0</v>
      </c>
      <c r="J18" s="107"/>
      <c r="K18" s="106">
        <f t="shared" si="0"/>
        <v>0</v>
      </c>
    </row>
    <row r="19" spans="1:11" hidden="1" x14ac:dyDescent="0.25">
      <c r="A19" s="91" t="s">
        <v>73</v>
      </c>
      <c r="B19" s="103"/>
      <c r="C19" s="104">
        <v>0</v>
      </c>
      <c r="D19" s="105"/>
      <c r="E19" s="104">
        <v>0</v>
      </c>
      <c r="F19" s="105"/>
      <c r="G19" s="106">
        <f t="shared" ref="G19" si="2">+C19+E19</f>
        <v>0</v>
      </c>
      <c r="H19" s="105"/>
      <c r="I19" s="106">
        <v>0</v>
      </c>
      <c r="J19" s="107"/>
      <c r="K19" s="106">
        <f>+G19-I19</f>
        <v>0</v>
      </c>
    </row>
    <row r="20" spans="1:11" x14ac:dyDescent="0.25">
      <c r="A20" s="91" t="s">
        <v>89</v>
      </c>
      <c r="B20" s="103"/>
      <c r="C20" s="104">
        <v>0</v>
      </c>
      <c r="D20" s="105"/>
      <c r="E20" s="104">
        <v>500</v>
      </c>
      <c r="F20" s="105"/>
      <c r="G20" s="106">
        <f t="shared" si="1"/>
        <v>500</v>
      </c>
      <c r="H20" s="105"/>
      <c r="I20" s="106">
        <v>0</v>
      </c>
      <c r="J20" s="107"/>
      <c r="K20" s="106">
        <f>+G20-I20</f>
        <v>500</v>
      </c>
    </row>
    <row r="21" spans="1:11" x14ac:dyDescent="0.25">
      <c r="A21" s="91" t="s">
        <v>73</v>
      </c>
      <c r="B21" s="103"/>
      <c r="C21" s="104">
        <v>0</v>
      </c>
      <c r="D21" s="105"/>
      <c r="E21" s="104">
        <v>4436</v>
      </c>
      <c r="F21" s="105"/>
      <c r="G21" s="106">
        <f t="shared" si="1"/>
        <v>4436</v>
      </c>
      <c r="H21" s="105"/>
      <c r="I21" s="106">
        <v>5237.07</v>
      </c>
      <c r="J21" s="107"/>
      <c r="K21" s="106">
        <f>+G21-I21</f>
        <v>-801.06999999999971</v>
      </c>
    </row>
    <row r="22" spans="1:11" x14ac:dyDescent="0.25">
      <c r="A22" s="91" t="s">
        <v>90</v>
      </c>
      <c r="B22" s="103"/>
      <c r="C22" s="104">
        <v>0</v>
      </c>
      <c r="D22" s="105"/>
      <c r="E22" s="104">
        <v>700</v>
      </c>
      <c r="F22" s="105"/>
      <c r="G22" s="106">
        <f t="shared" si="1"/>
        <v>700</v>
      </c>
      <c r="H22" s="105"/>
      <c r="I22" s="106">
        <f>1104.32+74</f>
        <v>1178.32</v>
      </c>
      <c r="J22" s="107"/>
      <c r="K22" s="106">
        <f>+G22-I22</f>
        <v>-478.31999999999994</v>
      </c>
    </row>
    <row r="23" spans="1:11" x14ac:dyDescent="0.25">
      <c r="A23" s="94" t="s">
        <v>45</v>
      </c>
      <c r="B23" s="103"/>
      <c r="C23" s="109">
        <f>SUM(C12:C22)</f>
        <v>4800</v>
      </c>
      <c r="D23" s="105"/>
      <c r="E23" s="109">
        <f>SUM(E12:E22)</f>
        <v>51444.25</v>
      </c>
      <c r="F23" s="105"/>
      <c r="G23" s="109">
        <f>SUM(G12:G22)</f>
        <v>56244.25</v>
      </c>
      <c r="H23" s="105"/>
      <c r="I23" s="109">
        <f>SUM(I12:I22)</f>
        <v>49911.34</v>
      </c>
      <c r="J23" s="105"/>
      <c r="K23" s="109">
        <f>SUM(K12:K22)</f>
        <v>6332.9100000000035</v>
      </c>
    </row>
    <row r="24" spans="1:11" x14ac:dyDescent="0.25">
      <c r="A24" s="94" t="s">
        <v>46</v>
      </c>
      <c r="B24" s="103"/>
      <c r="C24" s="109">
        <f>C10-C23</f>
        <v>46190</v>
      </c>
      <c r="D24" s="105"/>
      <c r="E24" s="105"/>
      <c r="F24" s="105"/>
      <c r="G24" s="109">
        <f>G10-G23</f>
        <v>-0.25</v>
      </c>
      <c r="H24" s="105"/>
      <c r="I24" s="105"/>
      <c r="J24" s="105"/>
      <c r="K24" s="105"/>
    </row>
    <row r="25" spans="1:11" x14ac:dyDescent="0.25">
      <c r="A25" s="102"/>
      <c r="B25" s="103"/>
      <c r="C25" s="102"/>
      <c r="D25" s="103"/>
      <c r="E25" s="102"/>
      <c r="F25" s="103"/>
      <c r="G25" s="116"/>
      <c r="H25" s="103"/>
      <c r="I25" s="117"/>
      <c r="J25" s="115"/>
      <c r="K25" s="116"/>
    </row>
    <row r="26" spans="1:11" x14ac:dyDescent="0.25">
      <c r="I26" s="24"/>
    </row>
    <row r="27" spans="1:11" x14ac:dyDescent="0.25">
      <c r="G27" s="24"/>
      <c r="I27" s="180">
        <v>30367.759999999998</v>
      </c>
    </row>
    <row r="28" spans="1:11" x14ac:dyDescent="0.25">
      <c r="I28" s="181">
        <f>+I23-I27</f>
        <v>19543.579999999998</v>
      </c>
    </row>
    <row r="29" spans="1:11" x14ac:dyDescent="0.25">
      <c r="I29" s="180"/>
    </row>
    <row r="30" spans="1:11" ht="14.45" hidden="1" x14ac:dyDescent="0.3">
      <c r="E30">
        <f>21667-21213</f>
        <v>454</v>
      </c>
    </row>
  </sheetData>
  <mergeCells count="4">
    <mergeCell ref="A1:K1"/>
    <mergeCell ref="A2:K2"/>
    <mergeCell ref="A3:K3"/>
    <mergeCell ref="A4:K4"/>
  </mergeCells>
  <printOptions horizontalCentered="1"/>
  <pageMargins left="0.25" right="0.25" top="0.25" bottom="0.3" header="0.3" footer="0"/>
  <pageSetup orientation="landscape" r:id="rId1"/>
  <headerFooter scaleWithDoc="0">
    <firstFooter>&amp;R
&amp;P&amp;N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62"/>
  <sheetViews>
    <sheetView zoomScaleNormal="100" workbookViewId="0">
      <selection activeCell="J32" sqref="J32:J48"/>
    </sheetView>
  </sheetViews>
  <sheetFormatPr defaultRowHeight="15" x14ac:dyDescent="0.25"/>
  <cols>
    <col min="1" max="1" width="9.7109375" bestFit="1" customWidth="1"/>
    <col min="2" max="2" width="39.28515625" customWidth="1"/>
    <col min="3" max="3" width="1.7109375" style="1" customWidth="1"/>
    <col min="4" max="4" width="10.5703125" bestFit="1" customWidth="1"/>
    <col min="5" max="5" width="1.7109375" style="1" customWidth="1"/>
    <col min="6" max="6" width="11.5703125" customWidth="1"/>
    <col min="7" max="7" width="1.7109375" style="1" customWidth="1"/>
    <col min="8" max="8" width="11.7109375" style="4" bestFit="1" customWidth="1"/>
    <col min="9" max="9" width="1.7109375" style="1" customWidth="1"/>
    <col min="10" max="10" width="14" style="4" customWidth="1"/>
    <col min="11" max="11" width="1.7109375" style="16" customWidth="1"/>
    <col min="12" max="12" width="10.140625" style="4" customWidth="1"/>
  </cols>
  <sheetData>
    <row r="1" spans="1:13" ht="14.45" x14ac:dyDescent="0.3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3" ht="14.45" x14ac:dyDescent="0.3">
      <c r="A2" s="182" t="s">
        <v>91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ht="14.45" x14ac:dyDescent="0.3">
      <c r="A3" s="182" t="s">
        <v>76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3" ht="12.75" customHeight="1" x14ac:dyDescent="0.3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3" ht="14.45" x14ac:dyDescent="0.3">
      <c r="B5" s="2"/>
      <c r="C5" s="2"/>
      <c r="D5" s="2"/>
      <c r="E5" s="78"/>
      <c r="F5" s="2"/>
      <c r="G5" s="78"/>
      <c r="H5" s="6"/>
      <c r="I5" s="78"/>
      <c r="J5" s="6"/>
      <c r="K5" s="79"/>
      <c r="L5" s="6"/>
    </row>
    <row r="6" spans="1:13" ht="67.150000000000006" thickBot="1" x14ac:dyDescent="0.35">
      <c r="A6" t="s">
        <v>92</v>
      </c>
      <c r="B6" s="95" t="s">
        <v>3</v>
      </c>
      <c r="C6" s="96"/>
      <c r="D6" s="97" t="s">
        <v>4</v>
      </c>
      <c r="E6" s="98"/>
      <c r="F6" s="97" t="s">
        <v>5</v>
      </c>
      <c r="G6" s="98"/>
      <c r="H6" s="99" t="s">
        <v>6</v>
      </c>
      <c r="I6" s="98"/>
      <c r="J6" s="100" t="s">
        <v>54</v>
      </c>
      <c r="K6" s="101"/>
      <c r="L6" s="99" t="s">
        <v>55</v>
      </c>
      <c r="M6" s="102"/>
    </row>
    <row r="7" spans="1:13" ht="14.45" x14ac:dyDescent="0.3">
      <c r="B7" s="102" t="s">
        <v>17</v>
      </c>
      <c r="C7" s="103"/>
      <c r="D7" s="104">
        <v>13075</v>
      </c>
      <c r="E7" s="105"/>
      <c r="F7" s="104">
        <v>1691</v>
      </c>
      <c r="G7" s="105"/>
      <c r="H7" s="106">
        <f>D7+F7</f>
        <v>14766</v>
      </c>
      <c r="I7" s="105"/>
      <c r="J7" s="106">
        <v>4172</v>
      </c>
      <c r="K7" s="107"/>
      <c r="L7" s="106">
        <f>H7-J7</f>
        <v>10594</v>
      </c>
      <c r="M7" s="102"/>
    </row>
    <row r="8" spans="1:13" ht="14.45" x14ac:dyDescent="0.3">
      <c r="B8" s="102" t="s">
        <v>18</v>
      </c>
      <c r="C8" s="103"/>
      <c r="D8" s="104">
        <v>12420</v>
      </c>
      <c r="E8" s="105"/>
      <c r="F8" s="104">
        <f>13356-12420</f>
        <v>936</v>
      </c>
      <c r="G8" s="105"/>
      <c r="H8" s="106">
        <f>D8+F8</f>
        <v>13356</v>
      </c>
      <c r="I8" s="105"/>
      <c r="J8" s="106">
        <v>0</v>
      </c>
      <c r="K8" s="107"/>
      <c r="L8" s="106">
        <f>H8-J8</f>
        <v>13356</v>
      </c>
      <c r="M8" s="102"/>
    </row>
    <row r="9" spans="1:13" ht="14.45" x14ac:dyDescent="0.3">
      <c r="B9" s="108" t="s">
        <v>24</v>
      </c>
      <c r="C9" s="103"/>
      <c r="D9" s="109">
        <f>SUM(D7:D8)</f>
        <v>25495</v>
      </c>
      <c r="E9" s="105"/>
      <c r="F9" s="109">
        <f>SUM(F7:F8)</f>
        <v>2627</v>
      </c>
      <c r="G9" s="105"/>
      <c r="H9" s="110">
        <f>SUM(H7:H8)</f>
        <v>28122</v>
      </c>
      <c r="I9" s="105"/>
      <c r="J9" s="110">
        <f>SUM(J7:J8)</f>
        <v>4172</v>
      </c>
      <c r="K9" s="107"/>
      <c r="L9" s="110">
        <f>SUM(L7:L8)</f>
        <v>23950</v>
      </c>
      <c r="M9" s="102"/>
    </row>
    <row r="10" spans="1:13" ht="14.45" x14ac:dyDescent="0.3">
      <c r="B10" s="102"/>
      <c r="C10" s="103"/>
      <c r="D10" s="104"/>
      <c r="E10" s="105"/>
      <c r="F10" s="104"/>
      <c r="G10" s="105"/>
      <c r="H10" s="106"/>
      <c r="I10" s="105"/>
      <c r="J10" s="106"/>
      <c r="K10" s="107"/>
      <c r="L10" s="106"/>
      <c r="M10" s="102"/>
    </row>
    <row r="11" spans="1:13" ht="14.45" x14ac:dyDescent="0.3">
      <c r="A11" s="118"/>
      <c r="B11" s="91" t="s">
        <v>25</v>
      </c>
      <c r="C11" s="103"/>
      <c r="D11" s="104">
        <v>2400</v>
      </c>
      <c r="E11" s="105"/>
      <c r="F11" s="104">
        <v>0</v>
      </c>
      <c r="G11" s="105"/>
      <c r="H11" s="106">
        <f>D11+F11</f>
        <v>2400</v>
      </c>
      <c r="I11" s="105"/>
      <c r="J11" s="106">
        <v>2400</v>
      </c>
      <c r="K11" s="107"/>
      <c r="L11" s="106">
        <f t="shared" ref="L11:L56" si="0">H11-J11</f>
        <v>0</v>
      </c>
      <c r="M11" s="102"/>
    </row>
    <row r="12" spans="1:13" ht="14.45" hidden="1" x14ac:dyDescent="0.3">
      <c r="A12" s="118"/>
      <c r="B12" s="91" t="s">
        <v>93</v>
      </c>
      <c r="C12" s="103"/>
      <c r="D12" s="104">
        <v>0</v>
      </c>
      <c r="E12" s="105"/>
      <c r="F12" s="104">
        <v>0</v>
      </c>
      <c r="G12" s="105"/>
      <c r="H12" s="106">
        <f t="shared" ref="H12:H29" si="1">+D12+F12</f>
        <v>0</v>
      </c>
      <c r="I12" s="105"/>
      <c r="J12" s="106">
        <v>0</v>
      </c>
      <c r="K12" s="107"/>
      <c r="L12" s="106">
        <f t="shared" si="0"/>
        <v>0</v>
      </c>
      <c r="M12" s="102"/>
    </row>
    <row r="13" spans="1:13" ht="14.45" hidden="1" x14ac:dyDescent="0.3">
      <c r="A13" s="118"/>
      <c r="B13" s="91" t="s">
        <v>94</v>
      </c>
      <c r="C13" s="103"/>
      <c r="D13" s="104">
        <v>0</v>
      </c>
      <c r="E13" s="105"/>
      <c r="F13" s="104">
        <v>0</v>
      </c>
      <c r="G13" s="105"/>
      <c r="H13" s="106">
        <f t="shared" si="1"/>
        <v>0</v>
      </c>
      <c r="I13" s="105"/>
      <c r="J13" s="106">
        <v>0</v>
      </c>
      <c r="K13" s="107"/>
      <c r="L13" s="106">
        <f t="shared" si="0"/>
        <v>0</v>
      </c>
      <c r="M13" s="102"/>
    </row>
    <row r="14" spans="1:13" x14ac:dyDescent="0.25">
      <c r="A14" s="118">
        <v>43411</v>
      </c>
      <c r="B14" s="91" t="s">
        <v>95</v>
      </c>
      <c r="C14" s="103"/>
      <c r="D14" s="104">
        <v>0</v>
      </c>
      <c r="E14" s="105"/>
      <c r="F14" s="104">
        <v>1200</v>
      </c>
      <c r="G14" s="105"/>
      <c r="H14" s="106">
        <f t="shared" si="1"/>
        <v>1200</v>
      </c>
      <c r="I14" s="105"/>
      <c r="J14" s="106">
        <f>200+150+200+150+150+300</f>
        <v>1150</v>
      </c>
      <c r="K14" s="107"/>
      <c r="L14" s="106">
        <f t="shared" si="0"/>
        <v>50</v>
      </c>
      <c r="M14" s="102"/>
    </row>
    <row r="15" spans="1:13" ht="14.45" hidden="1" x14ac:dyDescent="0.3">
      <c r="A15" s="118"/>
      <c r="B15" s="91" t="s">
        <v>95</v>
      </c>
      <c r="C15" s="103"/>
      <c r="D15" s="104">
        <v>0</v>
      </c>
      <c r="E15" s="105"/>
      <c r="F15" s="104">
        <v>0</v>
      </c>
      <c r="G15" s="105"/>
      <c r="H15" s="106">
        <f t="shared" si="1"/>
        <v>0</v>
      </c>
      <c r="I15" s="105"/>
      <c r="J15" s="106"/>
      <c r="K15" s="107"/>
      <c r="L15" s="106">
        <f t="shared" si="0"/>
        <v>0</v>
      </c>
      <c r="M15" s="102"/>
    </row>
    <row r="16" spans="1:13" ht="14.45" hidden="1" x14ac:dyDescent="0.3">
      <c r="A16" s="118"/>
      <c r="B16" s="91" t="s">
        <v>96</v>
      </c>
      <c r="C16" s="103"/>
      <c r="D16" s="104">
        <v>0</v>
      </c>
      <c r="E16" s="105"/>
      <c r="F16" s="104">
        <v>0</v>
      </c>
      <c r="G16" s="105"/>
      <c r="H16" s="106">
        <f t="shared" si="1"/>
        <v>0</v>
      </c>
      <c r="I16" s="105"/>
      <c r="J16" s="106"/>
      <c r="K16" s="107"/>
      <c r="L16" s="106">
        <f t="shared" si="0"/>
        <v>0</v>
      </c>
      <c r="M16" s="102"/>
    </row>
    <row r="17" spans="1:13" ht="14.45" hidden="1" x14ac:dyDescent="0.3">
      <c r="A17" s="118"/>
      <c r="B17" s="102" t="s">
        <v>97</v>
      </c>
      <c r="C17" s="103"/>
      <c r="D17" s="104">
        <v>0</v>
      </c>
      <c r="E17" s="105"/>
      <c r="F17" s="104">
        <v>0</v>
      </c>
      <c r="G17" s="105"/>
      <c r="H17" s="106">
        <f t="shared" si="1"/>
        <v>0</v>
      </c>
      <c r="I17" s="105"/>
      <c r="J17" s="106"/>
      <c r="K17" s="107"/>
      <c r="L17" s="106">
        <f t="shared" si="0"/>
        <v>0</v>
      </c>
      <c r="M17" s="119"/>
    </row>
    <row r="18" spans="1:13" ht="14.45" hidden="1" x14ac:dyDescent="0.3">
      <c r="A18" s="118"/>
      <c r="B18" s="102" t="s">
        <v>97</v>
      </c>
      <c r="C18" s="103"/>
      <c r="D18" s="104">
        <v>0</v>
      </c>
      <c r="E18" s="105"/>
      <c r="F18" s="104">
        <v>0</v>
      </c>
      <c r="G18" s="105"/>
      <c r="H18" s="106">
        <f t="shared" si="1"/>
        <v>0</v>
      </c>
      <c r="I18" s="105"/>
      <c r="J18" s="106"/>
      <c r="K18" s="107"/>
      <c r="L18" s="106">
        <f t="shared" si="0"/>
        <v>0</v>
      </c>
      <c r="M18" s="119"/>
    </row>
    <row r="19" spans="1:13" ht="14.45" hidden="1" x14ac:dyDescent="0.3">
      <c r="A19" s="118"/>
      <c r="B19" s="102" t="s">
        <v>97</v>
      </c>
      <c r="C19" s="103"/>
      <c r="D19" s="104">
        <v>0</v>
      </c>
      <c r="E19" s="105"/>
      <c r="F19" s="104">
        <v>0</v>
      </c>
      <c r="G19" s="105"/>
      <c r="H19" s="106">
        <f t="shared" si="1"/>
        <v>0</v>
      </c>
      <c r="I19" s="105"/>
      <c r="J19" s="106"/>
      <c r="K19" s="107"/>
      <c r="L19" s="106">
        <f t="shared" si="0"/>
        <v>0</v>
      </c>
      <c r="M19" s="119"/>
    </row>
    <row r="20" spans="1:13" ht="14.45" hidden="1" x14ac:dyDescent="0.3">
      <c r="A20" s="118"/>
      <c r="B20" s="102" t="s">
        <v>98</v>
      </c>
      <c r="C20" s="103"/>
      <c r="D20" s="104">
        <v>0</v>
      </c>
      <c r="E20" s="105"/>
      <c r="F20" s="104">
        <v>0</v>
      </c>
      <c r="G20" s="105"/>
      <c r="H20" s="106">
        <f t="shared" si="1"/>
        <v>0</v>
      </c>
      <c r="I20" s="105"/>
      <c r="J20" s="106"/>
      <c r="K20" s="107"/>
      <c r="L20" s="106">
        <f t="shared" si="0"/>
        <v>0</v>
      </c>
      <c r="M20" s="119"/>
    </row>
    <row r="21" spans="1:13" ht="14.45" hidden="1" x14ac:dyDescent="0.3">
      <c r="A21" s="118"/>
      <c r="B21" s="102" t="s">
        <v>98</v>
      </c>
      <c r="C21" s="103"/>
      <c r="D21" s="104">
        <v>0</v>
      </c>
      <c r="E21" s="105"/>
      <c r="F21" s="104">
        <v>0</v>
      </c>
      <c r="G21" s="105"/>
      <c r="H21" s="106">
        <f t="shared" si="1"/>
        <v>0</v>
      </c>
      <c r="I21" s="105"/>
      <c r="J21" s="106"/>
      <c r="K21" s="107"/>
      <c r="L21" s="106">
        <f t="shared" si="0"/>
        <v>0</v>
      </c>
      <c r="M21" s="119"/>
    </row>
    <row r="22" spans="1:13" ht="14.45" hidden="1" x14ac:dyDescent="0.3">
      <c r="A22" s="118"/>
      <c r="B22" s="102" t="s">
        <v>99</v>
      </c>
      <c r="C22" s="103"/>
      <c r="D22" s="104">
        <v>0</v>
      </c>
      <c r="E22" s="105"/>
      <c r="F22" s="104">
        <v>0</v>
      </c>
      <c r="G22" s="105"/>
      <c r="H22" s="106">
        <f t="shared" si="1"/>
        <v>0</v>
      </c>
      <c r="I22" s="105"/>
      <c r="J22" s="106"/>
      <c r="K22" s="107"/>
      <c r="L22" s="106">
        <f t="shared" si="0"/>
        <v>0</v>
      </c>
      <c r="M22" s="119"/>
    </row>
    <row r="23" spans="1:13" x14ac:dyDescent="0.25">
      <c r="A23" s="118">
        <v>43411</v>
      </c>
      <c r="B23" s="102" t="s">
        <v>176</v>
      </c>
      <c r="C23" s="103"/>
      <c r="D23" s="104">
        <v>0</v>
      </c>
      <c r="E23" s="105"/>
      <c r="F23" s="104">
        <v>650</v>
      </c>
      <c r="G23" s="105"/>
      <c r="H23" s="106">
        <f t="shared" si="1"/>
        <v>650</v>
      </c>
      <c r="I23" s="105"/>
      <c r="J23" s="106"/>
      <c r="K23" s="107"/>
      <c r="L23" s="106">
        <f t="shared" si="0"/>
        <v>650</v>
      </c>
      <c r="M23" s="119"/>
    </row>
    <row r="24" spans="1:13" x14ac:dyDescent="0.25">
      <c r="A24" s="118">
        <v>43411</v>
      </c>
      <c r="B24" s="102" t="s">
        <v>101</v>
      </c>
      <c r="C24" s="103"/>
      <c r="D24" s="104">
        <v>0</v>
      </c>
      <c r="E24" s="105"/>
      <c r="F24" s="104">
        <v>950</v>
      </c>
      <c r="G24" s="105"/>
      <c r="H24" s="106">
        <f t="shared" ref="H24" si="2">+D24+F24</f>
        <v>950</v>
      </c>
      <c r="I24" s="105"/>
      <c r="J24" s="106"/>
      <c r="K24" s="107"/>
      <c r="L24" s="106">
        <f t="shared" ref="L24" si="3">H24-J24</f>
        <v>950</v>
      </c>
      <c r="M24" s="119"/>
    </row>
    <row r="25" spans="1:13" x14ac:dyDescent="0.25">
      <c r="A25" s="118">
        <v>43433</v>
      </c>
      <c r="B25" s="102" t="s">
        <v>101</v>
      </c>
      <c r="C25" s="103"/>
      <c r="D25" s="104">
        <v>0</v>
      </c>
      <c r="E25" s="105"/>
      <c r="F25" s="104">
        <v>1000</v>
      </c>
      <c r="G25" s="105"/>
      <c r="H25" s="106">
        <f t="shared" si="1"/>
        <v>1000</v>
      </c>
      <c r="I25" s="105"/>
      <c r="J25" s="106">
        <v>0</v>
      </c>
      <c r="K25" s="107"/>
      <c r="L25" s="106">
        <f t="shared" si="0"/>
        <v>1000</v>
      </c>
      <c r="M25" s="119"/>
    </row>
    <row r="26" spans="1:13" x14ac:dyDescent="0.25">
      <c r="A26" s="118">
        <v>43382</v>
      </c>
      <c r="B26" s="102" t="s">
        <v>188</v>
      </c>
      <c r="C26" s="103"/>
      <c r="D26" s="104">
        <v>0</v>
      </c>
      <c r="E26" s="105"/>
      <c r="F26" s="104">
        <v>400</v>
      </c>
      <c r="G26" s="105"/>
      <c r="H26" s="106">
        <f t="shared" si="1"/>
        <v>400</v>
      </c>
      <c r="I26" s="105"/>
      <c r="J26" s="106">
        <v>500</v>
      </c>
      <c r="K26" s="107"/>
      <c r="L26" s="106">
        <f t="shared" si="0"/>
        <v>-100</v>
      </c>
      <c r="M26" s="119"/>
    </row>
    <row r="27" spans="1:13" ht="14.45" hidden="1" x14ac:dyDescent="0.3">
      <c r="A27" s="118"/>
      <c r="B27" s="102" t="s">
        <v>102</v>
      </c>
      <c r="C27" s="103"/>
      <c r="D27" s="104">
        <v>0</v>
      </c>
      <c r="E27" s="105"/>
      <c r="F27" s="104">
        <v>0</v>
      </c>
      <c r="G27" s="105"/>
      <c r="H27" s="106">
        <f t="shared" si="1"/>
        <v>0</v>
      </c>
      <c r="I27" s="105"/>
      <c r="J27" s="106">
        <v>0</v>
      </c>
      <c r="K27" s="107"/>
      <c r="L27" s="106">
        <f t="shared" si="0"/>
        <v>0</v>
      </c>
      <c r="M27" s="119"/>
    </row>
    <row r="28" spans="1:13" ht="14.45" hidden="1" x14ac:dyDescent="0.3">
      <c r="A28" s="118"/>
      <c r="B28" s="102" t="s">
        <v>103</v>
      </c>
      <c r="C28" s="103"/>
      <c r="D28" s="104">
        <v>0</v>
      </c>
      <c r="E28" s="105"/>
      <c r="F28" s="104">
        <v>0</v>
      </c>
      <c r="G28" s="105"/>
      <c r="H28" s="106">
        <f t="shared" si="1"/>
        <v>0</v>
      </c>
      <c r="I28" s="105"/>
      <c r="J28" s="106">
        <v>0</v>
      </c>
      <c r="K28" s="107"/>
      <c r="L28" s="106">
        <f t="shared" si="0"/>
        <v>0</v>
      </c>
      <c r="M28" s="119"/>
    </row>
    <row r="29" spans="1:13" ht="14.45" hidden="1" x14ac:dyDescent="0.3">
      <c r="A29" s="118"/>
      <c r="B29" s="102" t="s">
        <v>104</v>
      </c>
      <c r="C29" s="103"/>
      <c r="D29" s="104">
        <v>0</v>
      </c>
      <c r="E29" s="105"/>
      <c r="F29" s="104">
        <v>0</v>
      </c>
      <c r="G29" s="105"/>
      <c r="H29" s="106">
        <f t="shared" si="1"/>
        <v>0</v>
      </c>
      <c r="I29" s="105"/>
      <c r="J29" s="106">
        <v>0</v>
      </c>
      <c r="K29" s="107"/>
      <c r="L29" s="106">
        <f t="shared" si="0"/>
        <v>0</v>
      </c>
      <c r="M29" s="119"/>
    </row>
    <row r="30" spans="1:13" ht="14.45" hidden="1" x14ac:dyDescent="0.3">
      <c r="A30" s="118"/>
      <c r="B30" s="102" t="s">
        <v>105</v>
      </c>
      <c r="C30" s="103"/>
      <c r="D30" s="104">
        <v>0</v>
      </c>
      <c r="E30" s="105"/>
      <c r="F30" s="104">
        <v>0</v>
      </c>
      <c r="G30" s="105"/>
      <c r="H30" s="106">
        <f>D30+F30</f>
        <v>0</v>
      </c>
      <c r="I30" s="105"/>
      <c r="J30" s="106">
        <v>0</v>
      </c>
      <c r="K30" s="107"/>
      <c r="L30" s="106">
        <f t="shared" si="0"/>
        <v>0</v>
      </c>
      <c r="M30" s="119"/>
    </row>
    <row r="31" spans="1:13" ht="14.45" hidden="1" x14ac:dyDescent="0.3">
      <c r="A31" s="118"/>
      <c r="B31" s="102" t="s">
        <v>105</v>
      </c>
      <c r="C31" s="103"/>
      <c r="D31" s="104">
        <v>0</v>
      </c>
      <c r="E31" s="105"/>
      <c r="F31" s="104">
        <v>0</v>
      </c>
      <c r="G31" s="105"/>
      <c r="H31" s="106">
        <f>D31+F31</f>
        <v>0</v>
      </c>
      <c r="I31" s="105"/>
      <c r="J31" s="106">
        <v>0</v>
      </c>
      <c r="K31" s="107"/>
      <c r="L31" s="106">
        <f t="shared" si="0"/>
        <v>0</v>
      </c>
      <c r="M31" s="119"/>
    </row>
    <row r="32" spans="1:13" x14ac:dyDescent="0.25">
      <c r="A32" s="118">
        <v>43411</v>
      </c>
      <c r="B32" s="102" t="s">
        <v>106</v>
      </c>
      <c r="C32" s="103"/>
      <c r="D32" s="104">
        <v>0</v>
      </c>
      <c r="E32" s="105"/>
      <c r="F32" s="104">
        <v>300</v>
      </c>
      <c r="G32" s="105"/>
      <c r="H32" s="106">
        <f>D32+F32</f>
        <v>300</v>
      </c>
      <c r="I32" s="105"/>
      <c r="J32" s="106">
        <v>0</v>
      </c>
      <c r="K32" s="107"/>
      <c r="L32" s="106">
        <f>H32-J32</f>
        <v>300</v>
      </c>
      <c r="M32" s="119"/>
    </row>
    <row r="33" spans="1:13" ht="14.45" hidden="1" x14ac:dyDescent="0.3">
      <c r="A33" s="118"/>
      <c r="B33" s="102" t="s">
        <v>106</v>
      </c>
      <c r="C33" s="103"/>
      <c r="D33" s="104">
        <v>0</v>
      </c>
      <c r="E33" s="105"/>
      <c r="F33" s="104">
        <v>0</v>
      </c>
      <c r="G33" s="105"/>
      <c r="H33" s="106">
        <f>D33+F33</f>
        <v>0</v>
      </c>
      <c r="I33" s="105"/>
      <c r="J33" s="106">
        <v>0</v>
      </c>
      <c r="K33" s="107"/>
      <c r="L33" s="106">
        <f>H33-J33</f>
        <v>0</v>
      </c>
      <c r="M33" s="119"/>
    </row>
    <row r="34" spans="1:13" ht="14.45" hidden="1" x14ac:dyDescent="0.3">
      <c r="A34" s="118"/>
      <c r="B34" s="102" t="s">
        <v>100</v>
      </c>
      <c r="C34" s="103"/>
      <c r="D34" s="104">
        <v>0</v>
      </c>
      <c r="E34" s="105"/>
      <c r="F34" s="104">
        <v>0</v>
      </c>
      <c r="G34" s="105"/>
      <c r="H34" s="106">
        <f t="shared" ref="H34:H35" si="4">+D34+F34</f>
        <v>0</v>
      </c>
      <c r="I34" s="105"/>
      <c r="J34" s="106">
        <v>0</v>
      </c>
      <c r="K34" s="107"/>
      <c r="L34" s="106">
        <f t="shared" ref="L34:L37" si="5">H34-J34</f>
        <v>0</v>
      </c>
      <c r="M34" s="119"/>
    </row>
    <row r="35" spans="1:13" ht="14.45" hidden="1" x14ac:dyDescent="0.3">
      <c r="A35" s="118"/>
      <c r="B35" s="102" t="s">
        <v>107</v>
      </c>
      <c r="C35" s="103"/>
      <c r="D35" s="104">
        <v>0</v>
      </c>
      <c r="E35" s="105"/>
      <c r="F35" s="104">
        <v>0</v>
      </c>
      <c r="G35" s="105"/>
      <c r="H35" s="106">
        <f t="shared" si="4"/>
        <v>0</v>
      </c>
      <c r="I35" s="105"/>
      <c r="J35" s="106">
        <v>0</v>
      </c>
      <c r="K35" s="107"/>
      <c r="L35" s="106">
        <f t="shared" si="5"/>
        <v>0</v>
      </c>
      <c r="M35" s="119"/>
    </row>
    <row r="36" spans="1:13" ht="14.45" hidden="1" x14ac:dyDescent="0.3">
      <c r="A36" s="118"/>
      <c r="B36" s="102" t="s">
        <v>105</v>
      </c>
      <c r="C36" s="103"/>
      <c r="D36" s="104">
        <v>0</v>
      </c>
      <c r="E36" s="105"/>
      <c r="F36" s="104">
        <v>0</v>
      </c>
      <c r="G36" s="105"/>
      <c r="H36" s="106">
        <f>D36+F36</f>
        <v>0</v>
      </c>
      <c r="I36" s="105"/>
      <c r="J36" s="106">
        <v>0</v>
      </c>
      <c r="K36" s="107"/>
      <c r="L36" s="106">
        <f t="shared" si="5"/>
        <v>0</v>
      </c>
      <c r="M36" s="119"/>
    </row>
    <row r="37" spans="1:13" ht="14.45" hidden="1" x14ac:dyDescent="0.3">
      <c r="A37" s="118"/>
      <c r="B37" s="102" t="s">
        <v>105</v>
      </c>
      <c r="C37" s="103"/>
      <c r="D37" s="104">
        <v>0</v>
      </c>
      <c r="E37" s="105"/>
      <c r="F37" s="104">
        <v>0</v>
      </c>
      <c r="G37" s="105"/>
      <c r="H37" s="106">
        <f>D37+F37</f>
        <v>0</v>
      </c>
      <c r="I37" s="105"/>
      <c r="J37" s="106">
        <v>0</v>
      </c>
      <c r="K37" s="107"/>
      <c r="L37" s="106">
        <f t="shared" si="5"/>
        <v>0</v>
      </c>
      <c r="M37" s="119"/>
    </row>
    <row r="38" spans="1:13" ht="14.45" hidden="1" x14ac:dyDescent="0.3">
      <c r="A38" s="118"/>
      <c r="B38" s="102" t="s">
        <v>105</v>
      </c>
      <c r="C38" s="103"/>
      <c r="D38" s="104">
        <v>0</v>
      </c>
      <c r="E38" s="105"/>
      <c r="F38" s="104">
        <v>0</v>
      </c>
      <c r="G38" s="105"/>
      <c r="H38" s="106">
        <f>D38+F38</f>
        <v>0</v>
      </c>
      <c r="I38" s="105"/>
      <c r="J38" s="106">
        <v>0</v>
      </c>
      <c r="K38" s="107"/>
      <c r="L38" s="106">
        <f t="shared" si="0"/>
        <v>0</v>
      </c>
      <c r="M38" s="119"/>
    </row>
    <row r="39" spans="1:13" ht="14.45" hidden="1" x14ac:dyDescent="0.3">
      <c r="A39" s="118"/>
      <c r="B39" s="102" t="s">
        <v>106</v>
      </c>
      <c r="C39" s="103"/>
      <c r="D39" s="104">
        <v>0</v>
      </c>
      <c r="E39" s="105"/>
      <c r="F39" s="104">
        <v>0</v>
      </c>
      <c r="G39" s="105"/>
      <c r="H39" s="106">
        <f>D39+F39</f>
        <v>0</v>
      </c>
      <c r="I39" s="105"/>
      <c r="J39" s="106">
        <v>0</v>
      </c>
      <c r="K39" s="107"/>
      <c r="L39" s="106">
        <f t="shared" si="0"/>
        <v>0</v>
      </c>
      <c r="M39" s="119"/>
    </row>
    <row r="40" spans="1:13" x14ac:dyDescent="0.25">
      <c r="A40" s="118">
        <v>43411</v>
      </c>
      <c r="B40" s="102" t="s">
        <v>193</v>
      </c>
      <c r="C40" s="103"/>
      <c r="D40" s="104">
        <v>0</v>
      </c>
      <c r="E40" s="105"/>
      <c r="F40" s="104">
        <v>6000</v>
      </c>
      <c r="G40" s="105"/>
      <c r="H40" s="106">
        <f>+D40+F40</f>
        <v>6000</v>
      </c>
      <c r="I40" s="105"/>
      <c r="J40" s="106">
        <v>5000</v>
      </c>
      <c r="K40" s="107"/>
      <c r="L40" s="106">
        <f t="shared" si="0"/>
        <v>1000</v>
      </c>
      <c r="M40" s="119"/>
    </row>
    <row r="41" spans="1:13" ht="14.45" hidden="1" x14ac:dyDescent="0.3">
      <c r="A41" s="118"/>
      <c r="B41" s="102" t="s">
        <v>108</v>
      </c>
      <c r="C41" s="103"/>
      <c r="D41" s="104">
        <v>0</v>
      </c>
      <c r="E41" s="105"/>
      <c r="F41" s="104">
        <v>0</v>
      </c>
      <c r="G41" s="105"/>
      <c r="H41" s="106">
        <f>+D41+F41</f>
        <v>0</v>
      </c>
      <c r="I41" s="105"/>
      <c r="J41" s="106">
        <v>0</v>
      </c>
      <c r="K41" s="107"/>
      <c r="L41" s="106">
        <f t="shared" si="0"/>
        <v>0</v>
      </c>
      <c r="M41" s="119"/>
    </row>
    <row r="42" spans="1:13" ht="14.45" hidden="1" x14ac:dyDescent="0.3">
      <c r="A42" s="118"/>
      <c r="B42" s="102" t="s">
        <v>109</v>
      </c>
      <c r="C42" s="103"/>
      <c r="D42" s="104">
        <v>0</v>
      </c>
      <c r="E42" s="105"/>
      <c r="F42" s="104">
        <v>0</v>
      </c>
      <c r="G42" s="105"/>
      <c r="H42" s="106">
        <f>+D42+F42</f>
        <v>0</v>
      </c>
      <c r="I42" s="105"/>
      <c r="J42" s="106">
        <v>0</v>
      </c>
      <c r="K42" s="107"/>
      <c r="L42" s="106">
        <f t="shared" si="0"/>
        <v>0</v>
      </c>
      <c r="M42" s="119"/>
    </row>
    <row r="43" spans="1:13" ht="14.45" hidden="1" x14ac:dyDescent="0.3">
      <c r="A43" s="118"/>
      <c r="B43" s="102" t="s">
        <v>110</v>
      </c>
      <c r="C43" s="103"/>
      <c r="D43" s="104">
        <v>0</v>
      </c>
      <c r="E43" s="105"/>
      <c r="F43" s="104">
        <v>0</v>
      </c>
      <c r="G43" s="105"/>
      <c r="H43" s="106">
        <f>D43+F43</f>
        <v>0</v>
      </c>
      <c r="I43" s="105"/>
      <c r="J43" s="106">
        <v>0</v>
      </c>
      <c r="K43" s="107"/>
      <c r="L43" s="106">
        <f t="shared" si="0"/>
        <v>0</v>
      </c>
      <c r="M43" s="119"/>
    </row>
    <row r="44" spans="1:13" ht="14.45" hidden="1" x14ac:dyDescent="0.3">
      <c r="A44" s="118"/>
      <c r="B44" s="102" t="s">
        <v>111</v>
      </c>
      <c r="C44" s="103"/>
      <c r="D44" s="104">
        <v>0</v>
      </c>
      <c r="E44" s="105"/>
      <c r="F44" s="104">
        <v>0</v>
      </c>
      <c r="G44" s="105"/>
      <c r="H44" s="106">
        <f>+D44+F44</f>
        <v>0</v>
      </c>
      <c r="I44" s="105"/>
      <c r="J44" s="106">
        <v>0</v>
      </c>
      <c r="K44" s="107"/>
      <c r="L44" s="106">
        <f>H44-J44</f>
        <v>0</v>
      </c>
      <c r="M44" s="119"/>
    </row>
    <row r="45" spans="1:13" ht="14.45" hidden="1" x14ac:dyDescent="0.3">
      <c r="A45" s="118"/>
      <c r="B45" s="102" t="s">
        <v>111</v>
      </c>
      <c r="C45" s="103"/>
      <c r="D45" s="104">
        <v>0</v>
      </c>
      <c r="E45" s="105"/>
      <c r="F45" s="104">
        <v>0</v>
      </c>
      <c r="G45" s="105"/>
      <c r="H45" s="106">
        <f>+D45+F45</f>
        <v>0</v>
      </c>
      <c r="I45" s="105"/>
      <c r="J45" s="106">
        <v>0</v>
      </c>
      <c r="K45" s="107"/>
      <c r="L45" s="106">
        <f>H45-J45</f>
        <v>0</v>
      </c>
      <c r="M45" s="119"/>
    </row>
    <row r="46" spans="1:13" ht="14.45" hidden="1" x14ac:dyDescent="0.3">
      <c r="A46" s="118"/>
      <c r="B46" s="102" t="s">
        <v>111</v>
      </c>
      <c r="C46" s="103"/>
      <c r="D46" s="104">
        <v>0</v>
      </c>
      <c r="E46" s="105"/>
      <c r="F46" s="104">
        <v>0</v>
      </c>
      <c r="G46" s="105"/>
      <c r="H46" s="106">
        <f>+D46+F46</f>
        <v>0</v>
      </c>
      <c r="I46" s="105"/>
      <c r="J46" s="106">
        <v>0</v>
      </c>
      <c r="K46" s="107"/>
      <c r="L46" s="106">
        <f>H46-J46</f>
        <v>0</v>
      </c>
      <c r="M46" s="119"/>
    </row>
    <row r="47" spans="1:13" ht="14.45" hidden="1" x14ac:dyDescent="0.3">
      <c r="A47" s="118"/>
      <c r="B47" s="102" t="s">
        <v>112</v>
      </c>
      <c r="C47" s="103"/>
      <c r="D47" s="104">
        <v>0</v>
      </c>
      <c r="E47" s="105"/>
      <c r="F47" s="104">
        <v>0</v>
      </c>
      <c r="G47" s="105"/>
      <c r="H47" s="106">
        <f>D47+F47</f>
        <v>0</v>
      </c>
      <c r="I47" s="105"/>
      <c r="J47" s="106">
        <v>0</v>
      </c>
      <c r="K47" s="107"/>
      <c r="L47" s="106">
        <f>H47-J47</f>
        <v>0</v>
      </c>
      <c r="M47" s="119"/>
    </row>
    <row r="48" spans="1:13" x14ac:dyDescent="0.25">
      <c r="A48" s="118">
        <v>43411</v>
      </c>
      <c r="B48" s="102" t="s">
        <v>113</v>
      </c>
      <c r="C48" s="103"/>
      <c r="D48" s="104">
        <v>0</v>
      </c>
      <c r="E48" s="105"/>
      <c r="F48" s="104">
        <v>300</v>
      </c>
      <c r="G48" s="105"/>
      <c r="H48" s="106">
        <f>D48+F48</f>
        <v>300</v>
      </c>
      <c r="I48" s="105"/>
      <c r="J48" s="106"/>
      <c r="K48" s="107"/>
      <c r="L48" s="106">
        <f t="shared" ref="L48" si="6">H48-J48</f>
        <v>300</v>
      </c>
      <c r="M48" s="119"/>
    </row>
    <row r="49" spans="1:14" x14ac:dyDescent="0.25">
      <c r="A49" s="118">
        <v>43433</v>
      </c>
      <c r="B49" s="102" t="s">
        <v>113</v>
      </c>
      <c r="C49" s="103"/>
      <c r="D49" s="104">
        <v>0</v>
      </c>
      <c r="E49" s="105"/>
      <c r="F49" s="104">
        <v>5000</v>
      </c>
      <c r="G49" s="105"/>
      <c r="H49" s="106">
        <f>D49+F49</f>
        <v>5000</v>
      </c>
      <c r="I49" s="105"/>
      <c r="J49" s="106">
        <f>1000+3000</f>
        <v>4000</v>
      </c>
      <c r="K49" s="107"/>
      <c r="L49" s="106">
        <f t="shared" si="0"/>
        <v>1000</v>
      </c>
      <c r="M49" s="119"/>
    </row>
    <row r="50" spans="1:14" x14ac:dyDescent="0.25">
      <c r="A50" s="118">
        <v>43537</v>
      </c>
      <c r="B50" s="102" t="s">
        <v>234</v>
      </c>
      <c r="C50" s="103"/>
      <c r="D50" s="104">
        <v>0</v>
      </c>
      <c r="E50" s="105"/>
      <c r="F50" s="104">
        <v>300</v>
      </c>
      <c r="G50" s="105"/>
      <c r="H50" s="106">
        <f>+D50+F50</f>
        <v>300</v>
      </c>
      <c r="I50" s="105"/>
      <c r="J50" s="106">
        <v>272.51</v>
      </c>
      <c r="K50" s="107"/>
      <c r="L50" s="106">
        <f t="shared" si="0"/>
        <v>27.490000000000009</v>
      </c>
      <c r="M50" s="119"/>
    </row>
    <row r="51" spans="1:14" x14ac:dyDescent="0.25">
      <c r="A51" s="118">
        <v>43537</v>
      </c>
      <c r="B51" s="102" t="s">
        <v>111</v>
      </c>
      <c r="C51" s="103"/>
      <c r="D51" s="104">
        <v>0</v>
      </c>
      <c r="E51" s="105"/>
      <c r="F51" s="104">
        <v>3000</v>
      </c>
      <c r="G51" s="105"/>
      <c r="H51" s="106">
        <f>+D51+F51</f>
        <v>3000</v>
      </c>
      <c r="I51" s="105"/>
      <c r="J51" s="106">
        <v>3000</v>
      </c>
      <c r="K51" s="107"/>
      <c r="L51" s="106">
        <f t="shared" si="0"/>
        <v>0</v>
      </c>
      <c r="M51" s="119"/>
    </row>
    <row r="52" spans="1:14" x14ac:dyDescent="0.25">
      <c r="A52" s="118">
        <v>43537</v>
      </c>
      <c r="B52" s="102" t="s">
        <v>235</v>
      </c>
      <c r="C52" s="103"/>
      <c r="D52" s="104">
        <v>0</v>
      </c>
      <c r="E52" s="105"/>
      <c r="F52" s="104">
        <v>1981</v>
      </c>
      <c r="G52" s="105"/>
      <c r="H52" s="106">
        <f>+D52+F52</f>
        <v>1981</v>
      </c>
      <c r="I52" s="105"/>
      <c r="J52" s="106">
        <v>600</v>
      </c>
      <c r="K52" s="107"/>
      <c r="L52" s="106">
        <f t="shared" si="0"/>
        <v>1381</v>
      </c>
      <c r="M52" s="119"/>
    </row>
    <row r="53" spans="1:14" x14ac:dyDescent="0.25">
      <c r="A53" s="118">
        <v>43537</v>
      </c>
      <c r="B53" s="102" t="s">
        <v>236</v>
      </c>
      <c r="C53" s="103"/>
      <c r="D53" s="104">
        <v>0</v>
      </c>
      <c r="E53" s="105"/>
      <c r="F53" s="104">
        <v>300</v>
      </c>
      <c r="G53" s="105"/>
      <c r="H53" s="106">
        <f t="shared" ref="H53:H55" si="7">+D53+F53</f>
        <v>300</v>
      </c>
      <c r="I53" s="105"/>
      <c r="J53" s="106">
        <v>200</v>
      </c>
      <c r="K53" s="107"/>
      <c r="L53" s="106">
        <f t="shared" si="0"/>
        <v>100</v>
      </c>
      <c r="M53" s="119"/>
    </row>
    <row r="54" spans="1:14" x14ac:dyDescent="0.25">
      <c r="A54" s="118">
        <v>43537</v>
      </c>
      <c r="B54" s="102" t="s">
        <v>237</v>
      </c>
      <c r="C54" s="103"/>
      <c r="D54" s="104">
        <v>0</v>
      </c>
      <c r="E54" s="105"/>
      <c r="F54" s="104">
        <v>600</v>
      </c>
      <c r="G54" s="105"/>
      <c r="H54" s="106">
        <f t="shared" si="7"/>
        <v>600</v>
      </c>
      <c r="I54" s="105"/>
      <c r="J54" s="106">
        <v>600</v>
      </c>
      <c r="K54" s="107"/>
      <c r="L54" s="106">
        <f t="shared" si="0"/>
        <v>0</v>
      </c>
      <c r="M54" s="119"/>
    </row>
    <row r="55" spans="1:14" x14ac:dyDescent="0.25">
      <c r="A55" s="118">
        <v>43537</v>
      </c>
      <c r="B55" s="102" t="s">
        <v>238</v>
      </c>
      <c r="C55" s="103"/>
      <c r="D55" s="104">
        <v>0</v>
      </c>
      <c r="E55" s="105"/>
      <c r="F55" s="104">
        <v>800</v>
      </c>
      <c r="G55" s="105"/>
      <c r="H55" s="106">
        <f t="shared" si="7"/>
        <v>800</v>
      </c>
      <c r="I55" s="105"/>
      <c r="J55" s="106">
        <v>800</v>
      </c>
      <c r="K55" s="107"/>
      <c r="L55" s="106">
        <f t="shared" si="0"/>
        <v>0</v>
      </c>
      <c r="M55" s="119"/>
    </row>
    <row r="56" spans="1:14" x14ac:dyDescent="0.25">
      <c r="A56" s="118">
        <v>43571</v>
      </c>
      <c r="B56" s="91" t="s">
        <v>254</v>
      </c>
      <c r="C56" s="103"/>
      <c r="D56" s="104">
        <v>0</v>
      </c>
      <c r="E56" s="105"/>
      <c r="F56" s="104">
        <v>500</v>
      </c>
      <c r="G56" s="105"/>
      <c r="H56" s="106">
        <f>+D56+F56</f>
        <v>500</v>
      </c>
      <c r="I56" s="105"/>
      <c r="J56" s="106">
        <v>400</v>
      </c>
      <c r="K56" s="107"/>
      <c r="L56" s="106">
        <f t="shared" si="0"/>
        <v>100</v>
      </c>
      <c r="M56" s="119"/>
    </row>
    <row r="57" spans="1:14" x14ac:dyDescent="0.25">
      <c r="A57" s="102"/>
      <c r="B57" s="94" t="s">
        <v>115</v>
      </c>
      <c r="C57" s="103"/>
      <c r="D57" s="109">
        <v>0</v>
      </c>
      <c r="E57" s="105"/>
      <c r="F57" s="109">
        <f>SUM(F11:F56)</f>
        <v>23281</v>
      </c>
      <c r="G57" s="105"/>
      <c r="H57" s="109">
        <f>SUM(H11:H56)</f>
        <v>25681</v>
      </c>
      <c r="I57" s="105"/>
      <c r="J57" s="109">
        <f>SUM(J12:J56)</f>
        <v>16522.510000000002</v>
      </c>
      <c r="K57" s="107"/>
      <c r="L57" s="109">
        <f>SUM(L12:L56)</f>
        <v>6758.49</v>
      </c>
      <c r="M57" s="119"/>
      <c r="N57" s="55"/>
    </row>
    <row r="58" spans="1:14" x14ac:dyDescent="0.25">
      <c r="B58" s="94" t="s">
        <v>45</v>
      </c>
      <c r="C58" s="103"/>
      <c r="D58" s="109">
        <f>D11+D57</f>
        <v>2400</v>
      </c>
      <c r="E58" s="105"/>
      <c r="F58" s="109">
        <f>F11+F57</f>
        <v>23281</v>
      </c>
      <c r="G58" s="105"/>
      <c r="H58" s="109">
        <f>+H57+H11</f>
        <v>28081</v>
      </c>
      <c r="I58" s="105"/>
      <c r="J58" s="109">
        <f>+J57+J11</f>
        <v>18922.510000000002</v>
      </c>
      <c r="K58" s="105"/>
      <c r="L58" s="109">
        <f>L11+L57</f>
        <v>6758.49</v>
      </c>
      <c r="M58" s="119"/>
    </row>
    <row r="59" spans="1:14" x14ac:dyDescent="0.25">
      <c r="B59" s="94" t="s">
        <v>46</v>
      </c>
      <c r="C59" s="103"/>
      <c r="D59" s="109">
        <f>D9-D58</f>
        <v>23095</v>
      </c>
      <c r="E59" s="105"/>
      <c r="F59" s="120"/>
      <c r="G59" s="105"/>
      <c r="H59" s="109">
        <f>H9-H58</f>
        <v>41</v>
      </c>
      <c r="I59" s="105"/>
      <c r="J59" s="120"/>
      <c r="K59" s="105"/>
      <c r="L59" s="120"/>
      <c r="M59" s="119"/>
    </row>
    <row r="60" spans="1:14" x14ac:dyDescent="0.25">
      <c r="B60" s="102"/>
      <c r="C60" s="103"/>
      <c r="D60" s="102"/>
      <c r="E60" s="103"/>
      <c r="F60" s="103"/>
      <c r="G60" s="103"/>
      <c r="H60" s="116"/>
      <c r="I60" s="103"/>
      <c r="J60" s="121"/>
      <c r="K60" s="115"/>
      <c r="L60" s="115"/>
      <c r="M60" s="102"/>
    </row>
    <row r="62" spans="1:14" ht="14.45" hidden="1" x14ac:dyDescent="0.3">
      <c r="F62">
        <f>19368-19071</f>
        <v>297</v>
      </c>
    </row>
  </sheetData>
  <mergeCells count="4">
    <mergeCell ref="A1:L1"/>
    <mergeCell ref="A2:L2"/>
    <mergeCell ref="A3:L3"/>
    <mergeCell ref="A4:L4"/>
  </mergeCells>
  <printOptions horizontalCentered="1"/>
  <pageMargins left="0.25" right="0.25" top="0.25" bottom="0.3" header="0.3" footer="0"/>
  <pageSetup orientation="landscape" r:id="rId1"/>
  <headerFooter scaleWithDoc="0">
    <firstFooter>&amp;R
&amp;P&amp;N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32"/>
  <sheetViews>
    <sheetView workbookViewId="0">
      <selection activeCell="L27" sqref="L27"/>
    </sheetView>
  </sheetViews>
  <sheetFormatPr defaultRowHeight="15" x14ac:dyDescent="0.25"/>
  <cols>
    <col min="1" max="1" width="41.85546875" bestFit="1" customWidth="1"/>
    <col min="2" max="2" width="1.7109375" style="1" customWidth="1"/>
    <col min="3" max="3" width="11.28515625" customWidth="1"/>
    <col min="4" max="4" width="1.7109375" style="1" customWidth="1"/>
    <col min="5" max="5" width="11.5703125" customWidth="1"/>
    <col min="6" max="6" width="1.7109375" style="1" customWidth="1"/>
    <col min="7" max="7" width="11.85546875" style="4" customWidth="1"/>
    <col min="8" max="8" width="1.7109375" style="1" customWidth="1"/>
    <col min="9" max="9" width="14" style="4" customWidth="1"/>
    <col min="10" max="10" width="1.7109375" style="16" customWidth="1"/>
    <col min="11" max="11" width="10.140625" style="4" customWidth="1"/>
  </cols>
  <sheetData>
    <row r="1" spans="1:20" ht="14.45" x14ac:dyDescent="0.3">
      <c r="A1" s="182" t="s">
        <v>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20" ht="14.45" x14ac:dyDescent="0.3">
      <c r="A2" s="182" t="s">
        <v>116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20" ht="14.45" x14ac:dyDescent="0.3">
      <c r="A3" s="182" t="s">
        <v>76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20" ht="15.6" customHeight="1" x14ac:dyDescent="0.3">
      <c r="A4" s="182" t="str">
        <f>+'Allocation '!A3:U3</f>
        <v>As of June 30, 2019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20" ht="14.45" x14ac:dyDescent="0.3">
      <c r="A5" s="2"/>
      <c r="B5" s="2"/>
      <c r="C5" s="2"/>
      <c r="D5" s="78"/>
      <c r="E5" s="2"/>
      <c r="F5" s="78"/>
      <c r="G5" s="6"/>
      <c r="H5" s="78"/>
      <c r="I5" s="6"/>
      <c r="J5" s="79"/>
      <c r="K5" s="6"/>
    </row>
    <row r="6" spans="1:20" ht="54" thickBot="1" x14ac:dyDescent="0.35">
      <c r="A6" s="95"/>
      <c r="B6" s="96"/>
      <c r="C6" s="97" t="s">
        <v>4</v>
      </c>
      <c r="D6" s="98"/>
      <c r="E6" s="97" t="s">
        <v>5</v>
      </c>
      <c r="F6" s="98"/>
      <c r="G6" s="99" t="s">
        <v>6</v>
      </c>
      <c r="H6" s="98"/>
      <c r="I6" s="100" t="s">
        <v>117</v>
      </c>
      <c r="J6" s="101"/>
      <c r="K6" s="99" t="s">
        <v>55</v>
      </c>
      <c r="L6" s="102"/>
    </row>
    <row r="7" spans="1:20" ht="14.45" x14ac:dyDescent="0.3">
      <c r="A7" s="102" t="s">
        <v>17</v>
      </c>
      <c r="B7" s="103"/>
      <c r="C7" s="104">
        <v>39226</v>
      </c>
      <c r="D7" s="105"/>
      <c r="E7" s="104">
        <v>5072</v>
      </c>
      <c r="F7" s="105"/>
      <c r="G7" s="106">
        <f>C7+E7</f>
        <v>44298</v>
      </c>
      <c r="H7" s="105"/>
      <c r="I7" s="106">
        <v>12516</v>
      </c>
      <c r="J7" s="107"/>
      <c r="K7" s="106">
        <f>G7-I7</f>
        <v>31782</v>
      </c>
    </row>
    <row r="8" spans="1:20" ht="14.45" x14ac:dyDescent="0.3">
      <c r="A8" s="102" t="s">
        <v>18</v>
      </c>
      <c r="B8" s="103"/>
      <c r="C8" s="104">
        <v>37260</v>
      </c>
      <c r="D8" s="105"/>
      <c r="E8" s="104">
        <f>40068-37260</f>
        <v>2808</v>
      </c>
      <c r="F8" s="105"/>
      <c r="G8" s="106">
        <f t="shared" ref="G8:G11" si="0">C8+E8</f>
        <v>40068</v>
      </c>
      <c r="H8" s="105"/>
      <c r="I8" s="106">
        <v>0</v>
      </c>
      <c r="J8" s="107"/>
      <c r="K8" s="106">
        <f>G8-I8</f>
        <v>40068</v>
      </c>
    </row>
    <row r="9" spans="1:20" x14ac:dyDescent="0.25">
      <c r="A9" s="102" t="s">
        <v>22</v>
      </c>
      <c r="B9" s="103"/>
      <c r="C9" s="104">
        <v>0</v>
      </c>
      <c r="D9" s="105"/>
      <c r="E9" s="104">
        <v>75514</v>
      </c>
      <c r="F9" s="105"/>
      <c r="G9" s="106">
        <f t="shared" si="0"/>
        <v>75514</v>
      </c>
      <c r="H9" s="105"/>
      <c r="I9" s="106"/>
      <c r="J9" s="107"/>
      <c r="K9" s="106">
        <f>+G9+I9</f>
        <v>75514</v>
      </c>
    </row>
    <row r="10" spans="1:20" x14ac:dyDescent="0.25">
      <c r="A10" s="102" t="s">
        <v>248</v>
      </c>
      <c r="B10" s="103"/>
      <c r="C10" s="104">
        <v>0</v>
      </c>
      <c r="D10" s="105"/>
      <c r="E10" s="104">
        <v>7400</v>
      </c>
      <c r="F10" s="105"/>
      <c r="G10" s="106">
        <f t="shared" si="0"/>
        <v>7400</v>
      </c>
      <c r="H10" s="105"/>
      <c r="I10" s="106"/>
      <c r="J10" s="107"/>
      <c r="K10" s="106">
        <f>+G10+I10</f>
        <v>7400</v>
      </c>
    </row>
    <row r="11" spans="1:20" x14ac:dyDescent="0.25">
      <c r="A11" s="102" t="s">
        <v>289</v>
      </c>
      <c r="B11" s="103"/>
      <c r="C11" s="104">
        <v>0</v>
      </c>
      <c r="D11" s="105"/>
      <c r="E11" s="104">
        <v>0</v>
      </c>
      <c r="F11" s="105"/>
      <c r="G11" s="106">
        <f t="shared" si="0"/>
        <v>0</v>
      </c>
      <c r="H11" s="105"/>
      <c r="I11" s="106">
        <v>675</v>
      </c>
      <c r="J11" s="107"/>
      <c r="K11" s="106">
        <f>+G11+I11</f>
        <v>675</v>
      </c>
    </row>
    <row r="12" spans="1:20" x14ac:dyDescent="0.25">
      <c r="A12" s="108" t="s">
        <v>24</v>
      </c>
      <c r="B12" s="103"/>
      <c r="C12" s="109">
        <f>SUM(C7:C11)</f>
        <v>76486</v>
      </c>
      <c r="D12" s="105"/>
      <c r="E12" s="109">
        <f>SUM(E7:E10)</f>
        <v>90794</v>
      </c>
      <c r="F12" s="105"/>
      <c r="G12" s="109">
        <f>SUM(G7:G10)</f>
        <v>167280</v>
      </c>
      <c r="H12" s="105"/>
      <c r="I12" s="109">
        <f>SUM(I7:I10)</f>
        <v>12516</v>
      </c>
      <c r="J12" s="107"/>
      <c r="K12" s="109">
        <f>SUM(K7:K10)</f>
        <v>154764</v>
      </c>
    </row>
    <row r="13" spans="1:20" x14ac:dyDescent="0.25">
      <c r="A13" s="108"/>
      <c r="B13" s="103"/>
      <c r="C13" s="105"/>
      <c r="D13" s="105"/>
      <c r="E13" s="105"/>
      <c r="F13" s="105"/>
      <c r="G13" s="107"/>
      <c r="H13" s="105"/>
      <c r="I13" s="107"/>
      <c r="J13" s="107"/>
      <c r="K13" s="107"/>
      <c r="L13" s="102"/>
      <c r="T13" s="106"/>
    </row>
    <row r="14" spans="1:20" x14ac:dyDescent="0.25">
      <c r="A14" s="91" t="s">
        <v>118</v>
      </c>
      <c r="B14" s="103"/>
      <c r="C14" s="104">
        <v>7000</v>
      </c>
      <c r="D14" s="105"/>
      <c r="E14" s="104">
        <v>0</v>
      </c>
      <c r="F14" s="105"/>
      <c r="G14" s="106">
        <f t="shared" ref="G14:G23" si="1">C14+E14</f>
        <v>7000</v>
      </c>
      <c r="H14" s="105"/>
      <c r="I14" s="106">
        <v>7000</v>
      </c>
      <c r="J14" s="107"/>
      <c r="K14" s="106">
        <f t="shared" ref="K14:K23" si="2">G14-I14</f>
        <v>0</v>
      </c>
      <c r="L14" s="119"/>
      <c r="T14" s="106"/>
    </row>
    <row r="15" spans="1:20" x14ac:dyDescent="0.25">
      <c r="A15" s="91" t="s">
        <v>119</v>
      </c>
      <c r="B15" s="103"/>
      <c r="C15" s="104">
        <v>0</v>
      </c>
      <c r="D15" s="105"/>
      <c r="E15" s="104">
        <f>53000+7880+7400</f>
        <v>68280</v>
      </c>
      <c r="F15" s="105"/>
      <c r="G15" s="106">
        <f t="shared" si="1"/>
        <v>68280</v>
      </c>
      <c r="H15" s="105"/>
      <c r="I15" s="159">
        <f>214.52+3950+1355.18+936.21+1933.2+133.56+3763.15+392.57+463.54+1140.94+4170+2200+50.43+55.56+300+800+1000+1000+1265+8520+17650+100+2000+7500+1517.5+2000+6293.96+1798.2+1500+500+1200</f>
        <v>75703.520000000004</v>
      </c>
      <c r="J15" s="107"/>
      <c r="K15" s="106">
        <f t="shared" si="2"/>
        <v>-7423.5200000000041</v>
      </c>
      <c r="L15" s="119"/>
      <c r="T15" s="106"/>
    </row>
    <row r="16" spans="1:20" x14ac:dyDescent="0.25">
      <c r="A16" s="91" t="s">
        <v>120</v>
      </c>
      <c r="B16" s="103"/>
      <c r="C16" s="104">
        <v>0</v>
      </c>
      <c r="D16" s="105"/>
      <c r="E16" s="104">
        <v>5000</v>
      </c>
      <c r="F16" s="105"/>
      <c r="G16" s="106">
        <f t="shared" si="1"/>
        <v>5000</v>
      </c>
      <c r="H16" s="105"/>
      <c r="I16" s="159">
        <f>847+600+2000+463</f>
        <v>3910</v>
      </c>
      <c r="J16" s="107"/>
      <c r="K16" s="106">
        <f t="shared" si="2"/>
        <v>1090</v>
      </c>
      <c r="L16" s="102"/>
      <c r="T16" s="106"/>
    </row>
    <row r="17" spans="1:20" x14ac:dyDescent="0.25">
      <c r="A17" s="91" t="s">
        <v>121</v>
      </c>
      <c r="B17" s="103"/>
      <c r="C17" s="104">
        <v>0</v>
      </c>
      <c r="D17" s="105"/>
      <c r="E17" s="104">
        <v>8000</v>
      </c>
      <c r="F17" s="105"/>
      <c r="G17" s="106">
        <f t="shared" si="1"/>
        <v>8000</v>
      </c>
      <c r="H17" s="105"/>
      <c r="I17" s="159">
        <f>214.52+5500+175</f>
        <v>5889.52</v>
      </c>
      <c r="J17" s="107"/>
      <c r="K17" s="106">
        <f t="shared" si="2"/>
        <v>2110.4799999999996</v>
      </c>
      <c r="L17" s="102"/>
      <c r="T17" s="106"/>
    </row>
    <row r="18" spans="1:20" x14ac:dyDescent="0.25">
      <c r="A18" s="91" t="s">
        <v>122</v>
      </c>
      <c r="B18" s="103"/>
      <c r="C18" s="104">
        <v>0</v>
      </c>
      <c r="D18" s="105"/>
      <c r="E18" s="104">
        <v>8000</v>
      </c>
      <c r="F18" s="105"/>
      <c r="G18" s="106">
        <f t="shared" si="1"/>
        <v>8000</v>
      </c>
      <c r="H18" s="105"/>
      <c r="I18" s="159">
        <f>133.56+3500+600+3500</f>
        <v>7733.5599999999995</v>
      </c>
      <c r="J18" s="107"/>
      <c r="K18" s="106">
        <f t="shared" si="2"/>
        <v>266.44000000000051</v>
      </c>
      <c r="L18" s="102"/>
      <c r="T18" s="106"/>
    </row>
    <row r="19" spans="1:20" hidden="1" x14ac:dyDescent="0.25">
      <c r="A19" s="91" t="s">
        <v>123</v>
      </c>
      <c r="B19" s="103"/>
      <c r="C19" s="104">
        <v>0</v>
      </c>
      <c r="D19" s="105"/>
      <c r="E19" s="104">
        <v>0</v>
      </c>
      <c r="F19" s="105"/>
      <c r="G19" s="106">
        <f t="shared" si="1"/>
        <v>0</v>
      </c>
      <c r="H19" s="105"/>
      <c r="I19" s="106">
        <v>0</v>
      </c>
      <c r="J19" s="107"/>
      <c r="K19" s="106">
        <f t="shared" si="2"/>
        <v>0</v>
      </c>
      <c r="L19" s="102"/>
      <c r="T19" s="106"/>
    </row>
    <row r="20" spans="1:20" x14ac:dyDescent="0.25">
      <c r="A20" s="91" t="s">
        <v>124</v>
      </c>
      <c r="B20" s="103"/>
      <c r="C20" s="104">
        <v>0</v>
      </c>
      <c r="D20" s="105"/>
      <c r="E20" s="104">
        <v>40000</v>
      </c>
      <c r="F20" s="105"/>
      <c r="G20" s="106">
        <f t="shared" si="1"/>
        <v>40000</v>
      </c>
      <c r="H20" s="105"/>
      <c r="I20" s="106">
        <v>34600</v>
      </c>
      <c r="J20" s="107"/>
      <c r="K20" s="106">
        <f t="shared" si="2"/>
        <v>5400</v>
      </c>
      <c r="L20" s="102"/>
      <c r="T20" s="106"/>
    </row>
    <row r="21" spans="1:20" x14ac:dyDescent="0.25">
      <c r="A21" s="91" t="s">
        <v>84</v>
      </c>
      <c r="B21" s="103"/>
      <c r="C21" s="104">
        <v>0</v>
      </c>
      <c r="D21" s="105"/>
      <c r="E21" s="104">
        <v>22000</v>
      </c>
      <c r="F21" s="105"/>
      <c r="G21" s="106">
        <f t="shared" si="1"/>
        <v>22000</v>
      </c>
      <c r="H21" s="105"/>
      <c r="I21" s="106">
        <f>874.75+70.65+67.31+674.92+70.68+837.54+274.5+305.68+274.5+328.49+205.67+449.39+333.72+197.49+100+368+365+328+435+990+510+920+855+505+519+250+885</f>
        <v>11995.29</v>
      </c>
      <c r="J21" s="107"/>
      <c r="K21" s="106">
        <f t="shared" si="2"/>
        <v>10004.709999999999</v>
      </c>
      <c r="L21" s="102"/>
      <c r="T21" s="106"/>
    </row>
    <row r="22" spans="1:20" x14ac:dyDescent="0.25">
      <c r="A22" s="91" t="s">
        <v>70</v>
      </c>
      <c r="B22" s="103"/>
      <c r="C22" s="104">
        <v>0</v>
      </c>
      <c r="D22" s="105"/>
      <c r="E22" s="104">
        <v>5000</v>
      </c>
      <c r="F22" s="105"/>
      <c r="G22" s="106">
        <f t="shared" si="1"/>
        <v>5000</v>
      </c>
      <c r="H22" s="105"/>
      <c r="I22" s="106">
        <f>309.55+499.5+683.7+399.84+624.75+119.92+999+199.8+120+77.8+550+130.68+149.9+624.75+471.4+375.63+473.4+599.76+700+249.39+199.75+88.61+299.75+899+597.2+483.64</f>
        <v>10926.720000000001</v>
      </c>
      <c r="J22" s="107"/>
      <c r="K22" s="106">
        <f t="shared" si="2"/>
        <v>-5926.7200000000012</v>
      </c>
      <c r="L22" s="119"/>
      <c r="T22" s="106"/>
    </row>
    <row r="23" spans="1:20" x14ac:dyDescent="0.25">
      <c r="A23" s="91" t="s">
        <v>73</v>
      </c>
      <c r="B23" s="103"/>
      <c r="C23" s="104">
        <v>0</v>
      </c>
      <c r="D23" s="105"/>
      <c r="E23" s="104">
        <v>4000</v>
      </c>
      <c r="F23" s="105"/>
      <c r="G23" s="106">
        <f t="shared" si="1"/>
        <v>4000</v>
      </c>
      <c r="H23" s="105"/>
      <c r="I23" s="106">
        <v>2699.98</v>
      </c>
      <c r="J23" s="107"/>
      <c r="K23" s="106">
        <f t="shared" si="2"/>
        <v>1300.02</v>
      </c>
      <c r="L23" s="102"/>
    </row>
    <row r="24" spans="1:20" x14ac:dyDescent="0.25">
      <c r="A24" s="94" t="s">
        <v>45</v>
      </c>
      <c r="B24" s="103"/>
      <c r="C24" s="109">
        <f>SUM(C14:C23)</f>
        <v>7000</v>
      </c>
      <c r="D24" s="105"/>
      <c r="E24" s="109">
        <f>SUM(E14:E23)</f>
        <v>160280</v>
      </c>
      <c r="F24" s="105"/>
      <c r="G24" s="109">
        <f>SUM(G14:G23)</f>
        <v>167280</v>
      </c>
      <c r="H24" s="105"/>
      <c r="I24" s="110">
        <f>SUM(I14:I23)</f>
        <v>160458.59000000003</v>
      </c>
      <c r="J24" s="105"/>
      <c r="K24" s="109">
        <f>SUM(K14:K23)</f>
        <v>6821.4099999999944</v>
      </c>
      <c r="L24" s="102"/>
    </row>
    <row r="25" spans="1:20" x14ac:dyDescent="0.25">
      <c r="A25" s="94" t="s">
        <v>46</v>
      </c>
      <c r="B25" s="103"/>
      <c r="C25" s="109">
        <f>+C12-C24</f>
        <v>69486</v>
      </c>
      <c r="D25" s="105"/>
      <c r="E25" s="105"/>
      <c r="F25" s="105"/>
      <c r="G25" s="109">
        <f>+G12-G24</f>
        <v>0</v>
      </c>
      <c r="H25" s="105"/>
      <c r="I25" s="105"/>
      <c r="J25" s="105"/>
      <c r="K25" s="105"/>
      <c r="L25" s="102"/>
    </row>
    <row r="26" spans="1:20" x14ac:dyDescent="0.25">
      <c r="A26" s="102"/>
      <c r="B26" s="103"/>
      <c r="C26" s="102"/>
      <c r="D26" s="103"/>
      <c r="E26" s="102"/>
      <c r="F26" s="103"/>
      <c r="G26" s="116"/>
      <c r="H26" s="103"/>
      <c r="I26" s="117"/>
      <c r="J26" s="115"/>
      <c r="K26" s="116"/>
      <c r="L26" s="102"/>
    </row>
    <row r="27" spans="1:20" x14ac:dyDescent="0.25">
      <c r="I27" s="181">
        <v>7000</v>
      </c>
      <c r="L27" s="55"/>
    </row>
    <row r="28" spans="1:20" x14ac:dyDescent="0.25">
      <c r="I28" s="181">
        <f>+I24-I27</f>
        <v>153458.59000000003</v>
      </c>
    </row>
    <row r="29" spans="1:20" x14ac:dyDescent="0.25">
      <c r="I29" s="181">
        <v>0</v>
      </c>
    </row>
    <row r="30" spans="1:20" x14ac:dyDescent="0.25">
      <c r="I30" s="180">
        <v>153458.43</v>
      </c>
    </row>
    <row r="31" spans="1:20" x14ac:dyDescent="0.25">
      <c r="I31" s="181">
        <f>+I28-I30</f>
        <v>0.16000000003259629</v>
      </c>
    </row>
    <row r="32" spans="1:20" x14ac:dyDescent="0.25">
      <c r="I32" s="180"/>
    </row>
  </sheetData>
  <mergeCells count="4">
    <mergeCell ref="A1:K1"/>
    <mergeCell ref="A2:K2"/>
    <mergeCell ref="A3:K3"/>
    <mergeCell ref="A4:K4"/>
  </mergeCells>
  <printOptions horizontalCentered="1"/>
  <pageMargins left="0.25" right="0.25" top="0.25" bottom="0.3" header="0.3" footer="0"/>
  <pageSetup orientation="landscape" r:id="rId1"/>
  <headerFooter scaleWithDoc="0">
    <firstFooter>&amp;R
&amp;P&amp;N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Allocation </vt:lpstr>
      <vt:lpstr>Budget Committee</vt:lpstr>
      <vt:lpstr>Athletic Committee</vt:lpstr>
      <vt:lpstr>Child &amp; Family Center</vt:lpstr>
      <vt:lpstr>Studyaway Fund</vt:lpstr>
      <vt:lpstr>Game Room</vt:lpstr>
      <vt:lpstr>YC Radio Station</vt:lpstr>
      <vt:lpstr>APAF</vt:lpstr>
      <vt:lpstr>Student Government</vt:lpstr>
      <vt:lpstr>Student Clubs</vt:lpstr>
      <vt:lpstr>Pandora's Box</vt:lpstr>
      <vt:lpstr>Sheet1</vt:lpstr>
      <vt:lpstr>'Allocation '!Print_Area</vt:lpstr>
      <vt:lpstr>'Athletic Committee'!Print_Area</vt:lpstr>
      <vt:lpstr>'Budget Committee'!Print_Area</vt:lpstr>
    </vt:vector>
  </TitlesOfParts>
  <Company>York College CUNY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Delacruz</dc:creator>
  <cp:lastModifiedBy>Suzette Foster-Jemmott</cp:lastModifiedBy>
  <cp:lastPrinted>2019-08-15T20:33:41Z</cp:lastPrinted>
  <dcterms:created xsi:type="dcterms:W3CDTF">2017-07-17T17:38:54Z</dcterms:created>
  <dcterms:modified xsi:type="dcterms:W3CDTF">2019-08-15T20:34:06Z</dcterms:modified>
</cp:coreProperties>
</file>